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albert_nasuti_mbll_ca/Documents/Desktop/Rates/Jan 1 2025/"/>
    </mc:Choice>
  </mc:AlternateContent>
  <xr:revisionPtr revIDLastSave="48" documentId="8_{55E6F94C-A574-42DB-B173-C14EC2475FFC}" xr6:coauthVersionLast="47" xr6:coauthVersionMax="47" xr10:uidLastSave="{C3989040-ABE6-4F8B-B0A9-6EB4424AC554}"/>
  <workbookProtection workbookAlgorithmName="SHA-512" workbookHashValue="xnPScbHgWrkuqmsa2E7IE83WZVIGKhllMPi7+BAEAyvtMXMaj5D1ilo1Dd5llxRmVJrHqJK0HZVQ2ia5BZyH9Q==" workbookSaltValue="Cmzdl6c1nE9j9CAHicWT8g==" workbookSpinCount="100000" lockStructure="1"/>
  <bookViews>
    <workbookView xWindow="13425" yWindow="-16320" windowWidth="29040" windowHeight="15840" tabRatio="847" xr2:uid="{00000000-000D-0000-FFFF-FFFF00000000}"/>
  </bookViews>
  <sheets>
    <sheet name="Trial Pricing Calculator" sheetId="9" r:id="rId1"/>
    <sheet name="Calculations" sheetId="1" state="hidden" r:id="rId2"/>
    <sheet name="Freight_Exch_Excise" sheetId="7" state="hidden" r:id="rId3"/>
    <sheet name="Spirit Min. Markup" sheetId="2" state="hidden" r:id="rId4"/>
    <sheet name="Wine Min. Markup" sheetId="3" state="hidden" r:id="rId5"/>
    <sheet name="Ref. Bev. Min. Markup" sheetId="4" state="hidden" r:id="rId6"/>
    <sheet name="Beer Min. Markup" sheetId="5" state="hidden" r:id="rId7"/>
    <sheet name="MinMark-up Masterlist" sheetId="8" state="hidden" r:id="rId8"/>
    <sheet name="SRP" sheetId="6" state="hidden" r:id="rId9"/>
  </sheets>
  <definedNames>
    <definedName name="_xlnm._FilterDatabase" localSheetId="7" hidden="1">'MinMark-up Masterlist'!$A$1:$AW$1033</definedName>
    <definedName name="Beer">Freight_Exch_Excise!$E$4</definedName>
    <definedName name="Canada">Freight_Exch_Excise!$N$6:$N$26</definedName>
    <definedName name="CanadaF">Freight_Exch_Excise!$I$6:$I$7</definedName>
    <definedName name="Certificate_of_Origin">Freight_Exch_Excise!$F$4:$F$5</definedName>
    <definedName name="Currency">Freight_Exch_Excise!$K$6:$K$12</definedName>
    <definedName name="Freight">Freight_Exch_Excise!$M$6:$M$8</definedName>
    <definedName name="International">Freight_Exch_Excise!$R$6:$R$36</definedName>
    <definedName name="InternationalF">Freight_Exch_Excise!$J$6</definedName>
    <definedName name="MBLL_Product_Category">Freight_Exch_Excise!$A$4:$A$7</definedName>
    <definedName name="Private_Distribution">Freight_Exch_Excise!$I$11</definedName>
    <definedName name="Private_Distribution_Beer">Freight_Exch_Excise!$I$11:$I$13</definedName>
    <definedName name="Private_Distribution_RTD">Freight_Exch_Excise!$I$17:$I$18</definedName>
    <definedName name="Private_Product_Category">Freight_Exch_Excise!$A$19:$A$20</definedName>
    <definedName name="Ready_to_Drink">Freight_Exch_Excise!$D$4:$D$8</definedName>
    <definedName name="Ready_to_Drink_Private">Freight_Exch_Excise!$C$19:$C$23</definedName>
    <definedName name="Select">Freight_Exch_Excise!$E$19:$E$20</definedName>
    <definedName name="Spirit">Freight_Exch_Excise!$B$4:$B$11</definedName>
    <definedName name="USA">Freight_Exch_Excise!$P$6:$P$24</definedName>
    <definedName name="Wine">Freight_Exch_Excise!$C$4:$C$6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6" i="1" l="1"/>
  <c r="AB10" i="3"/>
  <c r="AD10" i="3" s="1"/>
  <c r="AC10" i="3"/>
  <c r="B9" i="1"/>
  <c r="D22" i="9" l="1"/>
  <c r="G28" i="1"/>
  <c r="K18" i="9"/>
  <c r="L18" i="9" s="1"/>
  <c r="AE26" i="1" l="1"/>
  <c r="AE21" i="1"/>
  <c r="AE20" i="1"/>
  <c r="AE27" i="1"/>
  <c r="BC48" i="5"/>
  <c r="K40" i="9"/>
  <c r="D33" i="9"/>
  <c r="D32" i="9"/>
  <c r="D18" i="9"/>
  <c r="A39" i="1" l="1"/>
  <c r="D47" i="1" l="1"/>
  <c r="F43" i="1"/>
  <c r="D29" i="9"/>
  <c r="D20" i="9"/>
  <c r="B11" i="1"/>
  <c r="D23" i="9"/>
  <c r="K24" i="9" l="1"/>
  <c r="B4" i="1"/>
  <c r="D17" i="9"/>
  <c r="K8" i="9"/>
  <c r="AE15" i="1"/>
  <c r="AE11" i="1"/>
  <c r="AE10" i="1"/>
  <c r="K38" i="9" l="1"/>
  <c r="AD27" i="1" l="1"/>
  <c r="AD26" i="1"/>
  <c r="AI26" i="1" s="1"/>
  <c r="AI21" i="1"/>
  <c r="AI20" i="1"/>
  <c r="AI15" i="1"/>
  <c r="AE6" i="1"/>
  <c r="AI5" i="1"/>
  <c r="AE5" i="1"/>
  <c r="E47" i="1" l="1"/>
  <c r="F47" i="1" l="1"/>
  <c r="B39" i="1"/>
  <c r="K20" i="9"/>
  <c r="D26" i="9"/>
  <c r="D28" i="9"/>
  <c r="Y5" i="1" l="1"/>
  <c r="W5" i="1"/>
  <c r="Y4" i="1"/>
  <c r="W4" i="1"/>
  <c r="D21" i="9" l="1"/>
  <c r="K25" i="9" l="1"/>
  <c r="O18" i="3"/>
  <c r="N18" i="3"/>
  <c r="P18" i="3" s="1"/>
  <c r="O17" i="3"/>
  <c r="N17" i="3"/>
  <c r="P17" i="3" s="1"/>
  <c r="O19" i="3"/>
  <c r="N19" i="3"/>
  <c r="P19" i="3" s="1"/>
  <c r="O16" i="3"/>
  <c r="N16" i="3"/>
  <c r="P16" i="3" s="1"/>
  <c r="O15" i="3"/>
  <c r="N15" i="3"/>
  <c r="P15" i="3" s="1"/>
  <c r="O14" i="3"/>
  <c r="N14" i="3"/>
  <c r="P14" i="3" s="1"/>
  <c r="O13" i="3"/>
  <c r="N13" i="3"/>
  <c r="P13" i="3" s="1"/>
  <c r="O12" i="3"/>
  <c r="N12" i="3"/>
  <c r="P12" i="3" s="1"/>
  <c r="AC9" i="3"/>
  <c r="AB9" i="3"/>
  <c r="AD9" i="3" s="1"/>
  <c r="O11" i="3"/>
  <c r="N11" i="3"/>
  <c r="P11" i="3" s="1"/>
  <c r="O10" i="3"/>
  <c r="N10" i="3"/>
  <c r="P10" i="3" s="1"/>
  <c r="AC6" i="3"/>
  <c r="AB6" i="3"/>
  <c r="AD6" i="3" s="1"/>
  <c r="O9" i="3"/>
  <c r="N9" i="3"/>
  <c r="P9" i="3" s="1"/>
  <c r="O8" i="3"/>
  <c r="N8" i="3"/>
  <c r="P8" i="3" s="1"/>
  <c r="O7" i="3"/>
  <c r="N7" i="3"/>
  <c r="P7" i="3" s="1"/>
  <c r="O6" i="3"/>
  <c r="N6" i="3"/>
  <c r="P6" i="3" s="1"/>
  <c r="O5" i="3"/>
  <c r="N5" i="3"/>
  <c r="P5" i="3" s="1"/>
  <c r="AC8" i="3"/>
  <c r="AB8" i="3"/>
  <c r="AD8" i="3" s="1"/>
  <c r="AC7" i="3"/>
  <c r="AB7" i="3"/>
  <c r="AD7" i="3" s="1"/>
  <c r="O4" i="3"/>
  <c r="N4" i="3"/>
  <c r="P4" i="3" s="1"/>
  <c r="AC5" i="3"/>
  <c r="AB5" i="3"/>
  <c r="AD5" i="3" s="1"/>
  <c r="O3" i="3"/>
  <c r="N3" i="3"/>
  <c r="P3" i="3" s="1"/>
  <c r="AB4" i="3"/>
  <c r="AD4" i="3" s="1"/>
  <c r="AC4" i="3"/>
  <c r="M18" i="2"/>
  <c r="B32" i="2"/>
  <c r="AC23" i="2"/>
  <c r="AB23" i="2"/>
  <c r="B12" i="1" l="1"/>
  <c r="K23" i="9" l="1"/>
  <c r="B10" i="1"/>
  <c r="B7" i="1"/>
  <c r="B6" i="1"/>
  <c r="L25" i="9" s="1"/>
  <c r="B5" i="1"/>
  <c r="D27" i="9"/>
  <c r="K17" i="9"/>
  <c r="K16" i="9"/>
  <c r="K15" i="9"/>
  <c r="K22" i="9"/>
  <c r="K21" i="9"/>
  <c r="K14" i="9"/>
  <c r="D24" i="9"/>
  <c r="D16" i="9"/>
  <c r="D15" i="9"/>
  <c r="D14" i="9"/>
  <c r="L18" i="1" l="1"/>
  <c r="B8" i="1"/>
  <c r="L24" i="9"/>
  <c r="B64" i="1" s="1"/>
  <c r="B21" i="1"/>
  <c r="N13" i="1"/>
  <c r="H28" i="1"/>
  <c r="H34" i="1"/>
  <c r="E19" i="1"/>
  <c r="F4" i="1"/>
  <c r="E4" i="1"/>
  <c r="D13" i="1"/>
  <c r="E13" i="1"/>
  <c r="M13" i="1" a="1"/>
  <c r="M13" i="1" s="1"/>
  <c r="F13" i="1"/>
  <c r="G13" i="1"/>
  <c r="O13" i="1" a="1"/>
  <c r="O13" i="1" s="1"/>
  <c r="G7" i="1"/>
  <c r="F7" i="1"/>
  <c r="D19" i="1"/>
  <c r="L15" i="9"/>
  <c r="B56" i="1" s="1"/>
  <c r="D7" i="1"/>
  <c r="E7" i="1"/>
  <c r="G19" i="1"/>
  <c r="F19" i="1"/>
  <c r="G16" i="1"/>
  <c r="D16" i="1"/>
  <c r="E16" i="1"/>
  <c r="F16" i="1"/>
  <c r="L13" i="1" l="1"/>
  <c r="K22" i="1"/>
  <c r="J22" i="1"/>
  <c r="M18" i="1"/>
  <c r="N18" i="1"/>
  <c r="D4" i="1"/>
  <c r="L16" i="9" s="1"/>
  <c r="B57" i="1" s="1"/>
  <c r="M22" i="1"/>
  <c r="L22" i="9"/>
  <c r="B62" i="1" s="1"/>
  <c r="L22" i="1"/>
  <c r="L17" i="9"/>
  <c r="B58" i="1" s="1"/>
  <c r="L23" i="9"/>
  <c r="B63" i="1" s="1"/>
  <c r="H47" i="1"/>
  <c r="J13" i="1"/>
  <c r="K13" i="1"/>
  <c r="L21" i="9"/>
  <c r="B61" i="1" s="1"/>
  <c r="G47" i="1" l="1"/>
  <c r="B47" i="1" s="1"/>
  <c r="C47" i="1" s="1"/>
  <c r="A47" i="1" s="1"/>
  <c r="D34" i="1"/>
  <c r="E43" i="1"/>
  <c r="H43" i="1" s="1"/>
  <c r="C39" i="1"/>
  <c r="E40" i="9"/>
  <c r="BC47" i="5"/>
  <c r="AO45" i="5"/>
  <c r="BC44" i="5"/>
  <c r="BC43" i="5"/>
  <c r="AL43" i="5"/>
  <c r="BC42" i="5"/>
  <c r="AL42" i="5"/>
  <c r="BC41" i="5"/>
  <c r="AL41" i="5"/>
  <c r="N41" i="5"/>
  <c r="BC40" i="5"/>
  <c r="AL40" i="5"/>
  <c r="N40" i="5"/>
  <c r="N39" i="5"/>
  <c r="AO38" i="5"/>
  <c r="N38" i="5"/>
  <c r="N37" i="5"/>
  <c r="N36" i="5"/>
  <c r="BC35" i="5"/>
  <c r="N35" i="5"/>
  <c r="BC34" i="5"/>
  <c r="AO34" i="5"/>
  <c r="N34" i="5"/>
  <c r="BC33" i="5"/>
  <c r="AL33" i="5"/>
  <c r="AO33" i="5" s="1"/>
  <c r="N33" i="5"/>
  <c r="BC32" i="5"/>
  <c r="AL32" i="5"/>
  <c r="AO32" i="5" s="1"/>
  <c r="N32" i="5"/>
  <c r="BC31" i="5"/>
  <c r="AL31" i="5"/>
  <c r="AO31" i="5" s="1"/>
  <c r="N31" i="5"/>
  <c r="BC30" i="5"/>
  <c r="AL30" i="5"/>
  <c r="AO30" i="5" s="1"/>
  <c r="N30" i="5"/>
  <c r="BC29" i="5"/>
  <c r="AL29" i="5"/>
  <c r="AO29" i="5" s="1"/>
  <c r="N29" i="5"/>
  <c r="BC28" i="5"/>
  <c r="AO28" i="5"/>
  <c r="AL28" i="5"/>
  <c r="N28" i="5"/>
  <c r="BC27" i="5"/>
  <c r="AL27" i="5"/>
  <c r="AO27" i="5" s="1"/>
  <c r="N27" i="5"/>
  <c r="BC26" i="5"/>
  <c r="AL26" i="5"/>
  <c r="AO26" i="5" s="1"/>
  <c r="N26" i="5"/>
  <c r="BC25" i="5"/>
  <c r="AL25" i="5"/>
  <c r="AO25" i="5" s="1"/>
  <c r="N25" i="5"/>
  <c r="BC24" i="5"/>
  <c r="AL24" i="5"/>
  <c r="AO24" i="5" s="1"/>
  <c r="N24" i="5"/>
  <c r="BC23" i="5"/>
  <c r="AL23" i="5"/>
  <c r="AO23" i="5" s="1"/>
  <c r="N23" i="5"/>
  <c r="BC22" i="5"/>
  <c r="AL22" i="5"/>
  <c r="AO22" i="5" s="1"/>
  <c r="N22" i="5"/>
  <c r="BC21" i="5"/>
  <c r="AL21" i="5"/>
  <c r="AO21" i="5" s="1"/>
  <c r="N21" i="5"/>
  <c r="BC20" i="5"/>
  <c r="AL20" i="5"/>
  <c r="N20" i="5"/>
  <c r="AL19" i="5"/>
  <c r="AO19" i="5" s="1"/>
  <c r="N19" i="5"/>
  <c r="BC18" i="5"/>
  <c r="AL18" i="5"/>
  <c r="AO18" i="5" s="1"/>
  <c r="N18" i="5"/>
  <c r="BC17" i="5"/>
  <c r="AL17" i="5"/>
  <c r="AO17" i="5" s="1"/>
  <c r="N17" i="5"/>
  <c r="BC16" i="5"/>
  <c r="AL16" i="5"/>
  <c r="AO16" i="5" s="1"/>
  <c r="N16" i="5"/>
  <c r="BC15" i="5"/>
  <c r="AL15" i="5"/>
  <c r="AO15" i="5" s="1"/>
  <c r="N15" i="5"/>
  <c r="BC14" i="5"/>
  <c r="AL14" i="5"/>
  <c r="AO14" i="5" s="1"/>
  <c r="N14" i="5"/>
  <c r="BC13" i="5"/>
  <c r="AL13" i="5"/>
  <c r="Z13" i="5"/>
  <c r="N13" i="5"/>
  <c r="BC12" i="5"/>
  <c r="AL12" i="5"/>
  <c r="Z12" i="5"/>
  <c r="N12" i="5"/>
  <c r="BC11" i="5"/>
  <c r="AL11" i="5"/>
  <c r="AO11" i="5" s="1"/>
  <c r="Z11" i="5"/>
  <c r="N11" i="5"/>
  <c r="BC10" i="5"/>
  <c r="AL10" i="5"/>
  <c r="AO10" i="5" s="1"/>
  <c r="Z10" i="5"/>
  <c r="N10" i="5"/>
  <c r="BC9" i="5"/>
  <c r="AO9" i="5"/>
  <c r="AL9" i="5"/>
  <c r="Z9" i="5"/>
  <c r="N9" i="5"/>
  <c r="BC8" i="5"/>
  <c r="AL8" i="5"/>
  <c r="AO8" i="5" s="1"/>
  <c r="Z8" i="5"/>
  <c r="N8" i="5"/>
  <c r="AL7" i="5"/>
  <c r="AO7" i="5" s="1"/>
  <c r="Z7" i="5"/>
  <c r="N7" i="5"/>
  <c r="BC6" i="5"/>
  <c r="AL6" i="5"/>
  <c r="Z6" i="5"/>
  <c r="N6" i="5"/>
  <c r="BC5" i="5"/>
  <c r="AO5" i="5"/>
  <c r="AL5" i="5"/>
  <c r="Z5" i="5"/>
  <c r="N5" i="5"/>
  <c r="BC4" i="5"/>
  <c r="AO4" i="5"/>
  <c r="AL4" i="5"/>
  <c r="Z4" i="5"/>
  <c r="N4" i="5"/>
  <c r="BC3" i="5"/>
  <c r="AL3" i="5"/>
  <c r="AO3" i="5" s="1"/>
  <c r="Z3" i="5"/>
  <c r="N3" i="5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AA3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Z10" i="2"/>
  <c r="M17" i="2"/>
  <c r="M16" i="2"/>
  <c r="M15" i="2"/>
  <c r="Z9" i="2"/>
  <c r="M14" i="2"/>
  <c r="Z8" i="2"/>
  <c r="Z7" i="2"/>
  <c r="M13" i="2"/>
  <c r="Z6" i="2"/>
  <c r="M12" i="2"/>
  <c r="M11" i="2"/>
  <c r="M10" i="2"/>
  <c r="M9" i="2"/>
  <c r="M8" i="2"/>
  <c r="Z5" i="2"/>
  <c r="Z4" i="2"/>
  <c r="M6" i="2"/>
  <c r="M5" i="2"/>
  <c r="M4" i="2"/>
  <c r="M3" i="2"/>
  <c r="B42" i="2"/>
  <c r="B41" i="2"/>
  <c r="B40" i="2"/>
  <c r="B39" i="2"/>
  <c r="B38" i="2"/>
  <c r="B37" i="2"/>
  <c r="B36" i="2"/>
  <c r="B35" i="2"/>
  <c r="B34" i="2"/>
  <c r="B33" i="2"/>
  <c r="B31" i="2"/>
  <c r="B30" i="2"/>
  <c r="B29" i="2"/>
  <c r="B28" i="2"/>
  <c r="B27" i="2"/>
  <c r="B26" i="2"/>
  <c r="B25" i="2"/>
  <c r="B24" i="2"/>
  <c r="B23" i="2"/>
  <c r="B22" i="2"/>
  <c r="B21" i="2"/>
  <c r="B20" i="2"/>
  <c r="B18" i="2"/>
  <c r="B17" i="2"/>
  <c r="B16" i="2"/>
  <c r="B15" i="2"/>
  <c r="B14" i="2"/>
  <c r="B13" i="2"/>
  <c r="B12" i="2"/>
  <c r="B11" i="2"/>
  <c r="B8" i="2"/>
  <c r="B7" i="2"/>
  <c r="B6" i="2"/>
  <c r="B5" i="2"/>
  <c r="B4" i="2"/>
  <c r="B3" i="2"/>
  <c r="G43" i="1" l="1"/>
  <c r="B43" i="1" s="1"/>
  <c r="C43" i="1" l="1"/>
  <c r="A43" i="1" s="1"/>
  <c r="O10" i="1"/>
  <c r="O5" i="1" s="1"/>
  <c r="B18" i="1" l="1"/>
  <c r="D43" i="1"/>
  <c r="I32" i="1" l="1"/>
  <c r="B19" i="1" s="1"/>
  <c r="L38" i="9" s="1"/>
  <c r="B15" i="1" l="1"/>
  <c r="E39" i="1" l="1"/>
  <c r="G39" i="1" s="1"/>
  <c r="D39" i="1" s="1"/>
  <c r="F39" i="1" s="1"/>
  <c r="G32" i="1" l="1"/>
  <c r="F32" i="1" s="1"/>
  <c r="D32" i="1" s="1"/>
  <c r="E32" i="1" s="1"/>
  <c r="C32" i="1" s="1"/>
  <c r="H32" i="1" l="1"/>
  <c r="I34" i="1" s="1"/>
  <c r="A32" i="1"/>
  <c r="B3" i="1" l="1"/>
  <c r="A28" i="1" s="1"/>
  <c r="B32" i="1"/>
  <c r="E33" i="9" l="1"/>
  <c r="L40" i="9"/>
  <c r="L14" i="9"/>
  <c r="B13" i="1" l="1"/>
  <c r="B55" i="1"/>
  <c r="B28" i="1" l="1"/>
  <c r="E28" i="1" s="1"/>
  <c r="F28" i="1" s="1"/>
  <c r="L10" i="1"/>
  <c r="L5" i="1" s="1"/>
  <c r="F10" i="1" s="1"/>
  <c r="L16" i="1"/>
  <c r="N16" i="1"/>
  <c r="M16" i="1"/>
  <c r="K10" i="1"/>
  <c r="K5" i="1" s="1"/>
  <c r="E10" i="1" s="1"/>
  <c r="J10" i="1"/>
  <c r="J5" i="1" s="1"/>
  <c r="D10" i="1" s="1"/>
  <c r="L20" i="9" s="1"/>
  <c r="B60" i="1" s="1"/>
  <c r="B65" i="1" s="1"/>
  <c r="M10" i="1"/>
  <c r="N10" i="1"/>
  <c r="D28" i="1" l="1"/>
  <c r="B17" i="1" s="1"/>
  <c r="E38" i="9" s="1"/>
  <c r="N5" i="1"/>
  <c r="M5" i="1"/>
  <c r="G10" i="1" s="1"/>
  <c r="C2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<sst xmlns="http://schemas.openxmlformats.org/spreadsheetml/2006/main" count="5821" uniqueCount="1486">
  <si>
    <t>Units/Case</t>
  </si>
  <si>
    <t>Size/L</t>
  </si>
  <si>
    <t>Size/ml</t>
  </si>
  <si>
    <t>% Markup</t>
  </si>
  <si>
    <t>Minimum Markup</t>
  </si>
  <si>
    <t>Min. Markup Code</t>
  </si>
  <si>
    <t>Markup Code Name</t>
  </si>
  <si>
    <t>Effective Date</t>
  </si>
  <si>
    <t>Expiry Date</t>
  </si>
  <si>
    <t>Surcharge</t>
  </si>
  <si>
    <t>MM1200</t>
  </si>
  <si>
    <t>Liqueur 20 ml</t>
  </si>
  <si>
    <t>MM1300</t>
  </si>
  <si>
    <t>Liqueur 29ml</t>
  </si>
  <si>
    <t>MM1320</t>
  </si>
  <si>
    <t>Spirits 30 ml</t>
  </si>
  <si>
    <t>MM1412</t>
  </si>
  <si>
    <t>Spirits 40 ml</t>
  </si>
  <si>
    <t>MM1470</t>
  </si>
  <si>
    <t>Spirits 50 ml</t>
  </si>
  <si>
    <t>MM1600</t>
  </si>
  <si>
    <t>Spirits 100 ml</t>
  </si>
  <si>
    <t>MM1860</t>
  </si>
  <si>
    <t>Liqueur 200 ml</t>
  </si>
  <si>
    <t>MM1930</t>
  </si>
  <si>
    <t>Liqueur 250 ml</t>
  </si>
  <si>
    <t>MM2005</t>
  </si>
  <si>
    <t>Spirits 300 ml</t>
  </si>
  <si>
    <t>MM2035</t>
  </si>
  <si>
    <t>Spirits 341 ml</t>
  </si>
  <si>
    <t>MM2030</t>
  </si>
  <si>
    <t>Liqueur 350 ml</t>
  </si>
  <si>
    <t>MM2051</t>
  </si>
  <si>
    <t>Spirits/Liqueur 360 ml</t>
  </si>
  <si>
    <t>MM2075</t>
  </si>
  <si>
    <t>Spirits 375 ml</t>
  </si>
  <si>
    <t>MM2111</t>
  </si>
  <si>
    <t>Liqueur 450 ml</t>
  </si>
  <si>
    <t>MM2149</t>
  </si>
  <si>
    <t>Spirits 480 ml</t>
  </si>
  <si>
    <t>MM2150</t>
  </si>
  <si>
    <t>Spirits 500 ml</t>
  </si>
  <si>
    <t>MM2180</t>
  </si>
  <si>
    <t>Liqueur 680 ml</t>
  </si>
  <si>
    <t>MM2210</t>
  </si>
  <si>
    <t>Spirits 700 ml</t>
  </si>
  <si>
    <t>MM2215</t>
  </si>
  <si>
    <t>Spirits 710 ml</t>
  </si>
  <si>
    <t>MM2228</t>
  </si>
  <si>
    <t>Spirits 720 ml</t>
  </si>
  <si>
    <t>MM2230</t>
  </si>
  <si>
    <t>Spirits 730 ml</t>
  </si>
  <si>
    <t>MM2245</t>
  </si>
  <si>
    <t>Spirits 750 ml</t>
  </si>
  <si>
    <t>MM2280</t>
  </si>
  <si>
    <t>Spirits 1000 ml</t>
  </si>
  <si>
    <t>MM2310</t>
  </si>
  <si>
    <t>Liqueur 1140 ml</t>
  </si>
  <si>
    <t>MM2360</t>
  </si>
  <si>
    <t>Liqueur 1500ml</t>
  </si>
  <si>
    <t>MM2385</t>
  </si>
  <si>
    <t>Liqueur 1750 ml</t>
  </si>
  <si>
    <t>MM2405</t>
  </si>
  <si>
    <t>Liqueur 2000 ml</t>
  </si>
  <si>
    <t>MM2296</t>
  </si>
  <si>
    <t>Spirits 2000 ml</t>
  </si>
  <si>
    <t>MM2393</t>
  </si>
  <si>
    <t>Spirits 2500 ml</t>
  </si>
  <si>
    <t>MM2438</t>
  </si>
  <si>
    <t>Liqueur 3000 ml</t>
  </si>
  <si>
    <t>MM2495</t>
  </si>
  <si>
    <t>Spirits 3750 ml</t>
  </si>
  <si>
    <t>MM2470</t>
  </si>
  <si>
    <t>Spirits 3780 ml</t>
  </si>
  <si>
    <t>MM2475</t>
  </si>
  <si>
    <t>Spirits 3785 ml</t>
  </si>
  <si>
    <t>MM2480</t>
  </si>
  <si>
    <t>Spirits 3786 ml</t>
  </si>
  <si>
    <t>MM2485</t>
  </si>
  <si>
    <t>Spirits 3790 ml</t>
  </si>
  <si>
    <t>MM2515</t>
  </si>
  <si>
    <t>Spirits 4000 ml</t>
  </si>
  <si>
    <t>MM2540</t>
  </si>
  <si>
    <t>Spirits 4500 ml</t>
  </si>
  <si>
    <t>MM2545</t>
  </si>
  <si>
    <t>Liqueur 5000 ml</t>
  </si>
  <si>
    <t>Total L's</t>
  </si>
  <si>
    <t>MM2260</t>
  </si>
  <si>
    <t>Liqueur 2x375 ml</t>
  </si>
  <si>
    <t>MM1881</t>
  </si>
  <si>
    <t>Spirits 2x200 ml</t>
  </si>
  <si>
    <t>MM2076</t>
  </si>
  <si>
    <t>Spirits 2x375 ml</t>
  </si>
  <si>
    <t>MM1535</t>
  </si>
  <si>
    <t>Liqueur 3x20 ml</t>
  </si>
  <si>
    <t>MM2165</t>
  </si>
  <si>
    <t>Liqueur 3x200 ml</t>
  </si>
  <si>
    <t>MM2340</t>
  </si>
  <si>
    <t>Liqueur 3x375 ml</t>
  </si>
  <si>
    <t>MM2190</t>
  </si>
  <si>
    <t>Spirits 3x200 ml</t>
  </si>
  <si>
    <t>MM1743</t>
  </si>
  <si>
    <t>Spirits 3x40 ml</t>
  </si>
  <si>
    <t>MM1812</t>
  </si>
  <si>
    <t>Spirits 3x50 ml</t>
  </si>
  <si>
    <t>MM2270</t>
  </si>
  <si>
    <t>Liqueur 4x200 ml</t>
  </si>
  <si>
    <t>MM1754</t>
  </si>
  <si>
    <t>Liqueur 4x25 ml</t>
  </si>
  <si>
    <t>MM1862</t>
  </si>
  <si>
    <t>Liqueur 4x30 ml</t>
  </si>
  <si>
    <t>MM1915</t>
  </si>
  <si>
    <t>Liqueur 4x50 ml</t>
  </si>
  <si>
    <t>MM1921</t>
  </si>
  <si>
    <t>Liqueur 4x70 ml</t>
  </si>
  <si>
    <t>MM2015</t>
  </si>
  <si>
    <t>Spirits 4x200 ml</t>
  </si>
  <si>
    <t>MM1980</t>
  </si>
  <si>
    <t>Liqueur 5x50 ml</t>
  </si>
  <si>
    <t>MM2334</t>
  </si>
  <si>
    <t>Spirits 5x200 ml</t>
  </si>
  <si>
    <t>MM2054</t>
  </si>
  <si>
    <t>Spirits 5x50 ml</t>
  </si>
  <si>
    <t>MM1861</t>
  </si>
  <si>
    <t>Liqueur 6x30 ml</t>
  </si>
  <si>
    <t>MM2055</t>
  </si>
  <si>
    <t>Spirits 6x50 ml</t>
  </si>
  <si>
    <t>MM1700</t>
  </si>
  <si>
    <t>Liqueur 10x50 ml</t>
  </si>
  <si>
    <t>MM1940</t>
  </si>
  <si>
    <t>Spirits 10x20 ml</t>
  </si>
  <si>
    <t>MM2175</t>
  </si>
  <si>
    <t>Spirits 10x50 ml</t>
  </si>
  <si>
    <t>MM1863</t>
  </si>
  <si>
    <t>Liqueur 12x30 ml</t>
  </si>
  <si>
    <t>MM1864</t>
  </si>
  <si>
    <t>Liqueur 24x30 ml</t>
  </si>
  <si>
    <t>MM2176</t>
  </si>
  <si>
    <t>Spirits 25x50 ml</t>
  </si>
  <si>
    <t>MM1107</t>
  </si>
  <si>
    <t>Wine 100 ml</t>
  </si>
  <si>
    <t>MM1805</t>
  </si>
  <si>
    <t>Wine 1000 ml</t>
  </si>
  <si>
    <t>MM2355</t>
  </si>
  <si>
    <t>Wine 10000 ml</t>
  </si>
  <si>
    <t>MM2380</t>
  </si>
  <si>
    <t>Wine 12000 ml</t>
  </si>
  <si>
    <t>MM1950</t>
  </si>
  <si>
    <t>Wine 1500 ml</t>
  </si>
  <si>
    <t>MM2418</t>
  </si>
  <si>
    <t>Wine 15000 ml</t>
  </si>
  <si>
    <t>MM2420</t>
  </si>
  <si>
    <t>Wine 16000 ml</t>
  </si>
  <si>
    <t>MM1990</t>
  </si>
  <si>
    <t>Wine 1750 ml</t>
  </si>
  <si>
    <t>MM1985</t>
  </si>
  <si>
    <t>Wine 1800 ml</t>
  </si>
  <si>
    <t>MM2435</t>
  </si>
  <si>
    <t>Wine 18000 ml</t>
  </si>
  <si>
    <t>MM1383</t>
  </si>
  <si>
    <t>Wine 187 ml</t>
  </si>
  <si>
    <t>MM1384</t>
  </si>
  <si>
    <t>Wine 187.5 ml</t>
  </si>
  <si>
    <t>MM2436</t>
  </si>
  <si>
    <t>Wine 19000 ml</t>
  </si>
  <si>
    <t>MM2437</t>
  </si>
  <si>
    <t>Wine 19500 ml</t>
  </si>
  <si>
    <t>MM1422</t>
  </si>
  <si>
    <t>Wine 200 ml</t>
  </si>
  <si>
    <t>MM2025</t>
  </si>
  <si>
    <t>Wine 2000 ml</t>
  </si>
  <si>
    <t>MM2445</t>
  </si>
  <si>
    <t>Wine 20000 ml</t>
  </si>
  <si>
    <t>MM2525</t>
  </si>
  <si>
    <t>Wine 22000 ml</t>
  </si>
  <si>
    <t>MM1429</t>
  </si>
  <si>
    <t>Wine 250 ml</t>
  </si>
  <si>
    <t>MM2090</t>
  </si>
  <si>
    <t>Wine 2500 ml</t>
  </si>
  <si>
    <t>MM2105</t>
  </si>
  <si>
    <t>Wine 2750 ml</t>
  </si>
  <si>
    <t>MM2520</t>
  </si>
  <si>
    <t>Wine 28000 ml</t>
  </si>
  <si>
    <t>MM1434</t>
  </si>
  <si>
    <t>Wine 290 ml</t>
  </si>
  <si>
    <t>MM1435</t>
  </si>
  <si>
    <t>Wine 300 ml</t>
  </si>
  <si>
    <t>MM2130</t>
  </si>
  <si>
    <t>Wine 3000 ml</t>
  </si>
  <si>
    <t>MM1436</t>
  </si>
  <si>
    <t>Wine 330 ml</t>
  </si>
  <si>
    <t>MM1565</t>
  </si>
  <si>
    <t>Wine 350 ml</t>
  </si>
  <si>
    <t>MM1575</t>
  </si>
  <si>
    <t>Wine 375 ml</t>
  </si>
  <si>
    <t>MM2160</t>
  </si>
  <si>
    <t>Wine 4000 ml</t>
  </si>
  <si>
    <t>MM2252</t>
  </si>
  <si>
    <t>Wine 4500 ml</t>
  </si>
  <si>
    <t>MM1050</t>
  </si>
  <si>
    <t>Wine 50 ml</t>
  </si>
  <si>
    <t>MM1685</t>
  </si>
  <si>
    <t>Wine 500 ml</t>
  </si>
  <si>
    <t>MM2255</t>
  </si>
  <si>
    <t>Wine 5000 ml</t>
  </si>
  <si>
    <t>MM2300</t>
  </si>
  <si>
    <t>Wine 6000 ml</t>
  </si>
  <si>
    <t>MM1763</t>
  </si>
  <si>
    <t>Wine 620 ml</t>
  </si>
  <si>
    <t>MM1747</t>
  </si>
  <si>
    <t>Wine 700 ml</t>
  </si>
  <si>
    <t>MM1765</t>
  </si>
  <si>
    <t>Wine 720 ml</t>
  </si>
  <si>
    <t>MM1770</t>
  </si>
  <si>
    <t>Wine 730 ml</t>
  </si>
  <si>
    <t>MM1780</t>
  </si>
  <si>
    <t>Wine 750 ml</t>
  </si>
  <si>
    <t>MM1790</t>
  </si>
  <si>
    <t>Wine 900 ml</t>
  </si>
  <si>
    <t>MM2345</t>
  </si>
  <si>
    <t>Wine 9000 ml</t>
  </si>
  <si>
    <t>Package</t>
  </si>
  <si>
    <t>MM1386</t>
  </si>
  <si>
    <t>Wine 2x187.5 ml</t>
  </si>
  <si>
    <t>MM1585</t>
  </si>
  <si>
    <t>Wine 2x200 ml</t>
  </si>
  <si>
    <t>MM1696</t>
  </si>
  <si>
    <t>Wine 2x375 ml</t>
  </si>
  <si>
    <t>MM2350</t>
  </si>
  <si>
    <t>Wine 2x4500 ml</t>
  </si>
  <si>
    <t>MM2000</t>
  </si>
  <si>
    <t>Wine 2x750 ml</t>
  </si>
  <si>
    <t>MM1735</t>
  </si>
  <si>
    <t>Wine 3x200 ml</t>
  </si>
  <si>
    <t>MM1965</t>
  </si>
  <si>
    <t>Wine 3x375 ml</t>
  </si>
  <si>
    <t>MM1328</t>
  </si>
  <si>
    <t>Wine 3x50 ml</t>
  </si>
  <si>
    <t>MM2120</t>
  </si>
  <si>
    <t>Wine 3x750 ml</t>
  </si>
  <si>
    <t>MM1825</t>
  </si>
  <si>
    <t>Wine 4x187 ml</t>
  </si>
  <si>
    <t>MM1865</t>
  </si>
  <si>
    <t>Wine 4x200 ml</t>
  </si>
  <si>
    <t>MM1931</t>
  </si>
  <si>
    <t>Wine 4x250 ml</t>
  </si>
  <si>
    <t>MM2125</t>
  </si>
  <si>
    <t>Wine 4x500 ml</t>
  </si>
  <si>
    <t>MM1960</t>
  </si>
  <si>
    <t>Wine 6x187 ml</t>
  </si>
  <si>
    <t>MM1329</t>
  </si>
  <si>
    <t>Wine 6x50 ml</t>
  </si>
  <si>
    <t>MM2225</t>
  </si>
  <si>
    <t>Wine 6x750 ml</t>
  </si>
  <si>
    <t>MM1093</t>
  </si>
  <si>
    <t>Refreshment Bev. 50 ml</t>
  </si>
  <si>
    <t>MM1567</t>
  </si>
  <si>
    <t>Refreshment Bev. 2x275 ml</t>
  </si>
  <si>
    <t>MM1095</t>
  </si>
  <si>
    <t>Refreshment Bev. 100 ml</t>
  </si>
  <si>
    <t>MM1364</t>
  </si>
  <si>
    <t>Refreshment Bev. 4x250 ml</t>
  </si>
  <si>
    <t>MM1097</t>
  </si>
  <si>
    <t>Refreshment Bev. 187 ml</t>
  </si>
  <si>
    <t>MM1801</t>
  </si>
  <si>
    <t>Refreshment Bev. 4x275 ml</t>
  </si>
  <si>
    <t>MM1257</t>
  </si>
  <si>
    <t>Refreshment Bev. 200 ml</t>
  </si>
  <si>
    <t>MM1814</t>
  </si>
  <si>
    <t>Refreshment Bev. 4x300 ml</t>
  </si>
  <si>
    <t>MM1335</t>
  </si>
  <si>
    <t>Refreshment Bev. 237 ml</t>
  </si>
  <si>
    <t>MM1815</t>
  </si>
  <si>
    <t>Refreshment Bev. 4x330 ml</t>
  </si>
  <si>
    <t>MM1363</t>
  </si>
  <si>
    <t>Refreshment Bev. 250 ml</t>
  </si>
  <si>
    <t>MM1820</t>
  </si>
  <si>
    <t>Refreshment Bev. 4x333 ml</t>
  </si>
  <si>
    <t>MM1365</t>
  </si>
  <si>
    <t>Refreshment Bev. 270 ml</t>
  </si>
  <si>
    <t>MM1840</t>
  </si>
  <si>
    <t>Refreshment Bev. 4x340 ml</t>
  </si>
  <si>
    <t>MM1370</t>
  </si>
  <si>
    <t>Refreshment Bev. 275 ml</t>
  </si>
  <si>
    <t>MM1845</t>
  </si>
  <si>
    <t>Refreshment Bev. 4x341 ml</t>
  </si>
  <si>
    <t>MM1419</t>
  </si>
  <si>
    <t>Refreshment Bev. 296 ml</t>
  </si>
  <si>
    <t>MM1850</t>
  </si>
  <si>
    <t>Refreshment Bev. 4x355 ml</t>
  </si>
  <si>
    <t>MM1420</t>
  </si>
  <si>
    <t>Refreshment Bev. 300 ml</t>
  </si>
  <si>
    <t>MM1546</t>
  </si>
  <si>
    <t>Refreshment Bev. 4x400 ml</t>
  </si>
  <si>
    <t>MM1430</t>
  </si>
  <si>
    <t>Refreshment Bev. 330 ml</t>
  </si>
  <si>
    <t>MM1548</t>
  </si>
  <si>
    <t>Refreshment Bev. 4x473 ml</t>
  </si>
  <si>
    <t>MM1438</t>
  </si>
  <si>
    <t>Refreshment Bev. 333 ml</t>
  </si>
  <si>
    <t>MM1859</t>
  </si>
  <si>
    <t>Refreshment Bev. 4x500 ml</t>
  </si>
  <si>
    <t>MM1440</t>
  </si>
  <si>
    <t>Refreshment Bev. 341 ml</t>
  </si>
  <si>
    <t>MM1875</t>
  </si>
  <si>
    <t>Refreshment Bev. 6x330 ml</t>
  </si>
  <si>
    <t>MM1450</t>
  </si>
  <si>
    <t>Refreshment Bev. 355 ml</t>
  </si>
  <si>
    <t>MM1920</t>
  </si>
  <si>
    <t>Refreshment Bev. 6x341 ml</t>
  </si>
  <si>
    <t>MM1451</t>
  </si>
  <si>
    <t>Refreshment Bev. 360 ml</t>
  </si>
  <si>
    <t>MM1945</t>
  </si>
  <si>
    <t>Refreshment Bev. 6x355 ml</t>
  </si>
  <si>
    <t>MM1455</t>
  </si>
  <si>
    <t>Refreshment Bev. 375 ml</t>
  </si>
  <si>
    <t>MM2114</t>
  </si>
  <si>
    <t>Refreshment Bev. 8x330 ml</t>
  </si>
  <si>
    <t>MM1543</t>
  </si>
  <si>
    <t>Refreshment Bev. 400 ml</t>
  </si>
  <si>
    <t>MM1970</t>
  </si>
  <si>
    <t>Refreshment Bev. 8x341 ml</t>
  </si>
  <si>
    <t>MM1544</t>
  </si>
  <si>
    <t>Refreshment Bev. 440 ml</t>
  </si>
  <si>
    <t>MM1946</t>
  </si>
  <si>
    <t>Refreshment Bev. 8x355 ml</t>
  </si>
  <si>
    <t>MM1547</t>
  </si>
  <si>
    <t>Refreshment Bev. 458 ml</t>
  </si>
  <si>
    <t>MM1549</t>
  </si>
  <si>
    <t>Refreshment Bev. 8x440 ml</t>
  </si>
  <si>
    <t>MM1545</t>
  </si>
  <si>
    <t>Refreshment Bev. 473 ml</t>
  </si>
  <si>
    <t>MM1541</t>
  </si>
  <si>
    <t>Refreshment Bev. 8x500 ml</t>
  </si>
  <si>
    <t>MM1550</t>
  </si>
  <si>
    <t>Refreshment Bev. 500 ml</t>
  </si>
  <si>
    <t>MM1259</t>
  </si>
  <si>
    <t>Refreshment Bev. 12x236 ml</t>
  </si>
  <si>
    <t>MM1590</t>
  </si>
  <si>
    <t>Refreshment Bev. 650 ml</t>
  </si>
  <si>
    <t>MM2115</t>
  </si>
  <si>
    <t>Refreshment Bev. 12x330 ml</t>
  </si>
  <si>
    <t>MM1591</t>
  </si>
  <si>
    <t>Refreshment Bev. 695 ml</t>
  </si>
  <si>
    <t>MM2138</t>
  </si>
  <si>
    <t>Refreshment Bev. 12x341ml</t>
  </si>
  <si>
    <t>MM1615</t>
  </si>
  <si>
    <t>Refreshment Bev. 700 ml</t>
  </si>
  <si>
    <t>MM2140</t>
  </si>
  <si>
    <t>Refreshment Bev. 12x355 ml</t>
  </si>
  <si>
    <t>MM1617</t>
  </si>
  <si>
    <t>Refreshment Bev. 710 ml</t>
  </si>
  <si>
    <t>MM2118</t>
  </si>
  <si>
    <t>Refreshment Bev. 24X330 ml</t>
  </si>
  <si>
    <t>MM1620</t>
  </si>
  <si>
    <t>Refreshment Bev. 720 ml</t>
  </si>
  <si>
    <t>MM2305</t>
  </si>
  <si>
    <t>Refreshment Bev. 24x355 ml</t>
  </si>
  <si>
    <t>MM1650</t>
  </si>
  <si>
    <t>Refreshment Bev. 750 ml</t>
  </si>
  <si>
    <t>MM2307</t>
  </si>
  <si>
    <t>Refreshment Bev. 24x400 ml</t>
  </si>
  <si>
    <t>MM1720</t>
  </si>
  <si>
    <t>Refreshment Bev. 910 ml</t>
  </si>
  <si>
    <t>MM1740</t>
  </si>
  <si>
    <t>Refreshment Bev. 946 ml</t>
  </si>
  <si>
    <t>MM1775</t>
  </si>
  <si>
    <t>Refreshment Bev. 1000 ml</t>
  </si>
  <si>
    <t>MM1768</t>
  </si>
  <si>
    <t>Refreshment Bev. 1140 ml</t>
  </si>
  <si>
    <t>MM1870</t>
  </si>
  <si>
    <t>Refreshment Bev. 1500 ml</t>
  </si>
  <si>
    <t>MM1873</t>
  </si>
  <si>
    <t>Refreshment Bev. 1750 ml</t>
  </si>
  <si>
    <t>MM1874</t>
  </si>
  <si>
    <t>Refreshment Bev. 1890 ml</t>
  </si>
  <si>
    <t>MM1890</t>
  </si>
  <si>
    <t>Refreshment Bev. 2000 ml</t>
  </si>
  <si>
    <t>MM2010</t>
  </si>
  <si>
    <t>Refreshment Bev. 3000 ml</t>
  </si>
  <si>
    <t>MM2095</t>
  </si>
  <si>
    <t>Refreshment Bev. 4000 ml</t>
  </si>
  <si>
    <t>MM2551</t>
  </si>
  <si>
    <t>Refreshment Bev. 19500 ml</t>
  </si>
  <si>
    <t>MM2554</t>
  </si>
  <si>
    <t>Refreshment Bev. 20000 ml</t>
  </si>
  <si>
    <t>MM2552</t>
  </si>
  <si>
    <t>Refreshment Bev. 25000 ml</t>
  </si>
  <si>
    <t>MM2556</t>
  </si>
  <si>
    <t>Refreshment Bev. 30000 ml</t>
  </si>
  <si>
    <t>MM2550</t>
  </si>
  <si>
    <t>Refreshment Bev. 50000 ml</t>
  </si>
  <si>
    <t>MM2553</t>
  </si>
  <si>
    <t>Refreshment Bev. 58500 ml</t>
  </si>
  <si>
    <t>MM2555</t>
  </si>
  <si>
    <t>Refreshment Bev. 58600 ml</t>
  </si>
  <si>
    <t>Singles - Cans</t>
  </si>
  <si>
    <t>Singles - Bottles</t>
  </si>
  <si>
    <t>Kegs</t>
  </si>
  <si>
    <t>Package - Bottles</t>
  </si>
  <si>
    <t>Package - Cans</t>
  </si>
  <si>
    <t>MM1461</t>
  </si>
  <si>
    <t>Beer Cans 1000 ml</t>
  </si>
  <si>
    <t>Can</t>
  </si>
  <si>
    <t>MM1542</t>
  </si>
  <si>
    <t>Beer Bottles 1000 ml</t>
  </si>
  <si>
    <t>Bottle</t>
  </si>
  <si>
    <t>MM2558</t>
  </si>
  <si>
    <t>Beer Keg 19000 ml</t>
  </si>
  <si>
    <t>Keg</t>
  </si>
  <si>
    <t>MM1425</t>
  </si>
  <si>
    <t>Beer Bottles 2x341 ml</t>
  </si>
  <si>
    <t>MM1405</t>
  </si>
  <si>
    <t>Beer Cans 6x135 ml</t>
  </si>
  <si>
    <t>MM2170</t>
  </si>
  <si>
    <t>Beer Cans 10000 ml</t>
  </si>
  <si>
    <t>MM1555</t>
  </si>
  <si>
    <t>Beer Bottles 1183 ml</t>
  </si>
  <si>
    <t>MM2557</t>
  </si>
  <si>
    <t>Beer Keg 19600 ml</t>
  </si>
  <si>
    <t>MM1540</t>
  </si>
  <si>
    <t>Beer Bottles 3x330 ml</t>
  </si>
  <si>
    <t>MM1271</t>
  </si>
  <si>
    <t>Beer Cans 2x500 ml</t>
  </si>
  <si>
    <t>MM1084</t>
  </si>
  <si>
    <t>Beer Cans 250 ml</t>
  </si>
  <si>
    <t>MM1635</t>
  </si>
  <si>
    <t>Beer Bottles 1500 ml</t>
  </si>
  <si>
    <t>MM2560</t>
  </si>
  <si>
    <t>Beer Keg 20000 ml</t>
  </si>
  <si>
    <t>MM1428</t>
  </si>
  <si>
    <t>Beer Bottles 2x500 ml</t>
  </si>
  <si>
    <t>MM1341</t>
  </si>
  <si>
    <t>Beer Can 2x650 ml</t>
  </si>
  <si>
    <t>MM1135</t>
  </si>
  <si>
    <t>Beer Cans 330 ml</t>
  </si>
  <si>
    <t>MM1082</t>
  </si>
  <si>
    <t>Beer Bottles 200 ml</t>
  </si>
  <si>
    <t>MM2561</t>
  </si>
  <si>
    <t>Beer Keg 25000 ml</t>
  </si>
  <si>
    <t>MM1120</t>
  </si>
  <si>
    <t>Beer Bottles 4x250 ml</t>
  </si>
  <si>
    <t>MM1893</t>
  </si>
  <si>
    <t>Beer Cans 3x440 ml</t>
  </si>
  <si>
    <t>MM1145</t>
  </si>
  <si>
    <t>Beer Cans 335 ml</t>
  </si>
  <si>
    <t>MM1750</t>
  </si>
  <si>
    <t>Beer Bottles 2000 ml</t>
  </si>
  <si>
    <t>MM2559</t>
  </si>
  <si>
    <t>Beer Keg 30000 ml</t>
  </si>
  <si>
    <t>MM1426</t>
  </si>
  <si>
    <t>Beer Bottles 2x650 ml</t>
  </si>
  <si>
    <t>MM1883</t>
  </si>
  <si>
    <t>Beer Cans 4x330 ml</t>
  </si>
  <si>
    <t>MM1150</t>
  </si>
  <si>
    <t>Beer Cans 340 ml</t>
  </si>
  <si>
    <t>MM1086</t>
  </si>
  <si>
    <t>Beer Bottles 207 ml</t>
  </si>
  <si>
    <t>MM2410</t>
  </si>
  <si>
    <t>Beer Keg 40910 ml</t>
  </si>
  <si>
    <t>MM2106</t>
  </si>
  <si>
    <t>Beer Bottles 4x330 ml</t>
  </si>
  <si>
    <t>MM1884</t>
  </si>
  <si>
    <t>Beer Cans 3x473 ml</t>
  </si>
  <si>
    <t>MM1155</t>
  </si>
  <si>
    <t>Beer Cans 341 ml</t>
  </si>
  <si>
    <t>MM1110</t>
  </si>
  <si>
    <t>Beer Bottles 222 ml</t>
  </si>
  <si>
    <t>MM2415</t>
  </si>
  <si>
    <t>Beer Keg 45460 ml</t>
  </si>
  <si>
    <t>MM1560</t>
  </si>
  <si>
    <t>Beer Bottles 4x341 ml</t>
  </si>
  <si>
    <t>MM1641</t>
  </si>
  <si>
    <t>Beer Cans 4x473 ml</t>
  </si>
  <si>
    <t>MM1162</t>
  </si>
  <si>
    <t>Beer Cans 354 ml</t>
  </si>
  <si>
    <t>MM1115</t>
  </si>
  <si>
    <t>Beer Bottles 250 ml</t>
  </si>
  <si>
    <t>MM2430</t>
  </si>
  <si>
    <t>Beer Keg 50000 ml</t>
  </si>
  <si>
    <t>MM1786</t>
  </si>
  <si>
    <t>Beer Bottles 4x355 ml</t>
  </si>
  <si>
    <t>MM1660</t>
  </si>
  <si>
    <t>Beer Cans 6x330 ml</t>
  </si>
  <si>
    <t>MM1165</t>
  </si>
  <si>
    <t>Beer Cans 355 ml</t>
  </si>
  <si>
    <t>MM1130</t>
  </si>
  <si>
    <t>Beer Bottles 275 ml</t>
  </si>
  <si>
    <t>MM2460</t>
  </si>
  <si>
    <t>Beer Keg 58600 ml</t>
  </si>
  <si>
    <t>MM1447</t>
  </si>
  <si>
    <t>Beer Bottles 2X750 ml</t>
  </si>
  <si>
    <t>MM1675</t>
  </si>
  <si>
    <t>Beer Cans 6x341 ml</t>
  </si>
  <si>
    <t>MM1175</t>
  </si>
  <si>
    <t>Beer Cans 375 ml</t>
  </si>
  <si>
    <t>MM1170</t>
  </si>
  <si>
    <t>Beer Bottles 300 ml</t>
  </si>
  <si>
    <t>MM2465</t>
  </si>
  <si>
    <t>Beer Keg 58668 ml</t>
  </si>
  <si>
    <t>MM1424</t>
  </si>
  <si>
    <t>Beer Bottles 3x500 ml</t>
  </si>
  <si>
    <t>MM1692</t>
  </si>
  <si>
    <t>Beer Cans 6x354 ml</t>
  </si>
  <si>
    <t>MM1239</t>
  </si>
  <si>
    <t>Beer Cans 440 ml</t>
  </si>
  <si>
    <t>MM1195</t>
  </si>
  <si>
    <t>Beer Bottles 320 ml</t>
  </si>
  <si>
    <t>MM1645</t>
  </si>
  <si>
    <t>Beer PET 2000 ml</t>
  </si>
  <si>
    <t>Pet</t>
  </si>
  <si>
    <t>MM1655</t>
  </si>
  <si>
    <t>Beer Bottles 6x250 ml</t>
  </si>
  <si>
    <t>MM1695</t>
  </si>
  <si>
    <t>Beer Cans 6x355 ml</t>
  </si>
  <si>
    <t>MM1245</t>
  </si>
  <si>
    <t>Beer Cans 450 ml</t>
  </si>
  <si>
    <t>MM1205</t>
  </si>
  <si>
    <t>Beer Bottles 325 ml</t>
  </si>
  <si>
    <t>MM1658</t>
  </si>
  <si>
    <t>Beer Bottles 6x275 ml</t>
  </si>
  <si>
    <t>MM1640</t>
  </si>
  <si>
    <t>Beer Cans 6x473 ml</t>
  </si>
  <si>
    <t>MM1265</t>
  </si>
  <si>
    <t>Beer Cans 473 ml</t>
  </si>
  <si>
    <t>MM1215</t>
  </si>
  <si>
    <t>Beer Bottles 330 ml</t>
  </si>
  <si>
    <t>MM1680</t>
  </si>
  <si>
    <t>Beer Bottles 6x330 ml</t>
  </si>
  <si>
    <t>MM1887</t>
  </si>
  <si>
    <t>Beer Cans 10x330 ml</t>
  </si>
  <si>
    <t>MM1270</t>
  </si>
  <si>
    <t>Beer Cans 500 ml</t>
  </si>
  <si>
    <t>MM1217</t>
  </si>
  <si>
    <t>Beer Bottles 334 ml</t>
  </si>
  <si>
    <t>MM2104</t>
  </si>
  <si>
    <t>Beer Bottles 4x500 ml</t>
  </si>
  <si>
    <t>MM1885</t>
  </si>
  <si>
    <t>Beer Cans 8x440 ml</t>
  </si>
  <si>
    <t>MM1975</t>
  </si>
  <si>
    <t>Beer Cans 5000 ml</t>
  </si>
  <si>
    <t>MM1220</t>
  </si>
  <si>
    <t>Beer Bottles 341 ml</t>
  </si>
  <si>
    <t>MM1690</t>
  </si>
  <si>
    <t>Beer Bottles 6x341 ml</t>
  </si>
  <si>
    <t>MM1882</t>
  </si>
  <si>
    <t>Beer Cans 8x473 ml</t>
  </si>
  <si>
    <t>MM1272</t>
  </si>
  <si>
    <t>Beer Cans 568 ml</t>
  </si>
  <si>
    <t>MM1225</t>
  </si>
  <si>
    <t>Beer Bottles 345 ml</t>
  </si>
  <si>
    <t>MM1705</t>
  </si>
  <si>
    <t>Beer Bottles 6x355 ml</t>
  </si>
  <si>
    <t>MM1889</t>
  </si>
  <si>
    <t>Beer Cans 12x330 ml</t>
  </si>
  <si>
    <t>MM1340</t>
  </si>
  <si>
    <t>Beer Cans 650 ml</t>
  </si>
  <si>
    <t>MM1237</t>
  </si>
  <si>
    <t>Beer Bottles 350 ml</t>
  </si>
  <si>
    <t>MM1446</t>
  </si>
  <si>
    <t>Beer Bottles 3X750 ml</t>
  </si>
  <si>
    <t>MM1665</t>
  </si>
  <si>
    <t>Beer Cans 2000 ml</t>
  </si>
  <si>
    <t>MM1345</t>
  </si>
  <si>
    <t>Beer Cans 710 ml</t>
  </si>
  <si>
    <t>MM1240</t>
  </si>
  <si>
    <t>Beer Bottles 354 ml</t>
  </si>
  <si>
    <t>MM1710</t>
  </si>
  <si>
    <t>Beer Bottles 6x375 ml</t>
  </si>
  <si>
    <t>MM1273</t>
  </si>
  <si>
    <t>Beer Cans 8x500 ml</t>
  </si>
  <si>
    <t>MM1342</t>
  </si>
  <si>
    <t>Beer Cans 740 ml</t>
  </si>
  <si>
    <t>MM1242</t>
  </si>
  <si>
    <t>Beer Bottles 355 ml</t>
  </si>
  <si>
    <t>MM1376</t>
  </si>
  <si>
    <t>Beer Bottles 4x600 ml</t>
  </si>
  <si>
    <t>MM1976</t>
  </si>
  <si>
    <t>Beer Cans 12x340 ml</t>
  </si>
  <si>
    <t>MM1255</t>
  </si>
  <si>
    <t>Beer Bottles 375 ml</t>
  </si>
  <si>
    <t>MM2108</t>
  </si>
  <si>
    <t>Beer Bottles 5x500 ml</t>
  </si>
  <si>
    <t>MM1888</t>
  </si>
  <si>
    <t>Beer Cans 12x341 ml</t>
  </si>
  <si>
    <t>MM1290</t>
  </si>
  <si>
    <t>Beer Bottles 440 ml</t>
  </si>
  <si>
    <t>MM1785</t>
  </si>
  <si>
    <t>Beer Bottles 8x330 ml</t>
  </si>
  <si>
    <t>MM1894</t>
  </si>
  <si>
    <t>Beer Cans 9x473 ml</t>
  </si>
  <si>
    <t>MM1296</t>
  </si>
  <si>
    <t>Beer Bottles 450 ml</t>
  </si>
  <si>
    <t>MM2109</t>
  </si>
  <si>
    <t>Beer Bottles 6x500 ml</t>
  </si>
  <si>
    <t>MM1902</t>
  </si>
  <si>
    <t>Beer Cans 12x355 ml</t>
  </si>
  <si>
    <t>MM1305</t>
  </si>
  <si>
    <t>Beer Bottles 473 ml</t>
  </si>
  <si>
    <t>MM1681</t>
  </si>
  <si>
    <t>Beer Bottles 12x330 ml</t>
  </si>
  <si>
    <t>MM1891</t>
  </si>
  <si>
    <t>Beer Cans 15x355 ml</t>
  </si>
  <si>
    <t>MM1325</t>
  </si>
  <si>
    <t>Beer Bottles 500 ml</t>
  </si>
  <si>
    <t>MM1910</t>
  </si>
  <si>
    <t>Beer Bottles 12x341 ml</t>
  </si>
  <si>
    <t>MM1886</t>
  </si>
  <si>
    <t>Beer Cans 24x330 ml</t>
  </si>
  <si>
    <t>MM1350</t>
  </si>
  <si>
    <t>Beer Bottles 550 ml</t>
  </si>
  <si>
    <t>MM1935</t>
  </si>
  <si>
    <t>Beer Bottles 12x355 ml</t>
  </si>
  <si>
    <t>MM1901</t>
  </si>
  <si>
    <t>Beer Cans 24x355 ml</t>
  </si>
  <si>
    <t>MM1360</t>
  </si>
  <si>
    <t>Beer Bottles 568 ml</t>
  </si>
  <si>
    <t>MM2113</t>
  </si>
  <si>
    <t>Beer Bottle 18x330 ml</t>
  </si>
  <si>
    <t>MM1903</t>
  </si>
  <si>
    <t>Beer Cans 30x296 ml</t>
  </si>
  <si>
    <t>MM1375</t>
  </si>
  <si>
    <t>Beer Bottles 600 ml</t>
  </si>
  <si>
    <t>MM2122</t>
  </si>
  <si>
    <t>Beer Bottles 12X500 ml</t>
  </si>
  <si>
    <t>MM1892</t>
  </si>
  <si>
    <t>Beer Cans 24x473 ml</t>
  </si>
  <si>
    <t>MM1377</t>
  </si>
  <si>
    <t>Beer Bottles 625 ml</t>
  </si>
  <si>
    <t>MM2117</t>
  </si>
  <si>
    <t>Beer Bottle 20X330 ml</t>
  </si>
  <si>
    <t>MM1899</t>
  </si>
  <si>
    <t>Beer Cans 36x355 ml</t>
  </si>
  <si>
    <t>MM1380</t>
  </si>
  <si>
    <t>Beer Bottles 630 ml</t>
  </si>
  <si>
    <t>MM2102</t>
  </si>
  <si>
    <t>Beer Bottles 24x330 ml</t>
  </si>
  <si>
    <t>MM1385</t>
  </si>
  <si>
    <t>Beer Bottles 633 ml</t>
  </si>
  <si>
    <t>MM2101</t>
  </si>
  <si>
    <t>Beer Bottles 24x341 ml</t>
  </si>
  <si>
    <t>MM1395</t>
  </si>
  <si>
    <t>Beer Bottles 640 ml</t>
  </si>
  <si>
    <t>MM2103</t>
  </si>
  <si>
    <t>Beer Bottles 24x355 ml</t>
  </si>
  <si>
    <t>MM1410</t>
  </si>
  <si>
    <t>Beer Bottles 650 ml</t>
  </si>
  <si>
    <t>MM1415</t>
  </si>
  <si>
    <t>Beer Bottles 658 ml</t>
  </si>
  <si>
    <t>MM1417</t>
  </si>
  <si>
    <t>Beer Bottles 660 ml</t>
  </si>
  <si>
    <t>MM1427</t>
  </si>
  <si>
    <t>Beer Bottles 710 ml</t>
  </si>
  <si>
    <t>MM1445</t>
  </si>
  <si>
    <t>Beer Bottles 750 ml</t>
  </si>
  <si>
    <t>MM1448</t>
  </si>
  <si>
    <t>Beer Bottles 765 ml</t>
  </si>
  <si>
    <t>MM1517</t>
  </si>
  <si>
    <t>Beer Bottles 909 ml</t>
  </si>
  <si>
    <t>MM1525</t>
  </si>
  <si>
    <t>Beer Bottles 946 ml</t>
  </si>
  <si>
    <t>Social Reference Price per Litre of Absolute Alcohol for all Categories and Pack Sizes</t>
  </si>
  <si>
    <t>Total Volume</t>
  </si>
  <si>
    <t>Low</t>
  </si>
  <si>
    <t>High</t>
  </si>
  <si>
    <t>Cost per Litre of Absolute Alcohol</t>
  </si>
  <si>
    <t>Spirits</t>
  </si>
  <si>
    <t>&lt;100 mL</t>
  </si>
  <si>
    <t>&gt;=700 mL</t>
  </si>
  <si>
    <t>Beer</t>
  </si>
  <si>
    <t>&lt;10,000 L</t>
  </si>
  <si>
    <t>&gt;=20,000 L</t>
  </si>
  <si>
    <t>Refreshment Beverages</t>
  </si>
  <si>
    <t>Wine</t>
  </si>
  <si>
    <t>&gt;=4,000 mL</t>
  </si>
  <si>
    <t>Fortified Wine</t>
  </si>
  <si>
    <t>Manitoba Liquor &amp; Lotteries</t>
  </si>
  <si>
    <t>Product Information</t>
  </si>
  <si>
    <t>Sub-Type</t>
  </si>
  <si>
    <t>Case Cost</t>
  </si>
  <si>
    <t>Currency</t>
  </si>
  <si>
    <t>Duty Type</t>
  </si>
  <si>
    <t>Markup</t>
  </si>
  <si>
    <t xml:space="preserve">Product Category </t>
  </si>
  <si>
    <t xml:space="preserve">Freight </t>
  </si>
  <si>
    <t>Rate</t>
  </si>
  <si>
    <t>Container Type</t>
  </si>
  <si>
    <t>Canada Zones</t>
  </si>
  <si>
    <t>Canada Rates</t>
  </si>
  <si>
    <t>American  Zones</t>
  </si>
  <si>
    <t>American Rates</t>
  </si>
  <si>
    <t>International   Zones</t>
  </si>
  <si>
    <t>International Rates</t>
  </si>
  <si>
    <t>Spirit</t>
  </si>
  <si>
    <t>Ref. Bev</t>
  </si>
  <si>
    <t>Beer Singles</t>
  </si>
  <si>
    <t>Beer Package</t>
  </si>
  <si>
    <t>Canada</t>
  </si>
  <si>
    <t>International</t>
  </si>
  <si>
    <t>Brandy/Cognac</t>
  </si>
  <si>
    <t>Sake</t>
  </si>
  <si>
    <t>Cider</t>
  </si>
  <si>
    <t>Yes</t>
  </si>
  <si>
    <t>CAD</t>
  </si>
  <si>
    <t>Quebec Zone 1 - Montreal/Pointe Claire</t>
  </si>
  <si>
    <t>Arkansas</t>
  </si>
  <si>
    <t>Argentina</t>
  </si>
  <si>
    <t>Excise</t>
  </si>
  <si>
    <t>Customs</t>
  </si>
  <si>
    <t>Gin</t>
  </si>
  <si>
    <t>Sparkling Wine</t>
  </si>
  <si>
    <t>Spirit Cooler</t>
  </si>
  <si>
    <t>No</t>
  </si>
  <si>
    <t>AUD</t>
  </si>
  <si>
    <t>USA</t>
  </si>
  <si>
    <t>Quebec Zone 2 - Montreal/Wine Totes</t>
  </si>
  <si>
    <t>California - Modesto - Gallo</t>
  </si>
  <si>
    <t>Duty Paid</t>
  </si>
  <si>
    <t>Liqueur</t>
  </si>
  <si>
    <t>Wine Cooler</t>
  </si>
  <si>
    <t>EUR</t>
  </si>
  <si>
    <t>Quebec Zone 3 - SAQ &amp; Misc.</t>
  </si>
  <si>
    <t>California - American Canyon</t>
  </si>
  <si>
    <t>Australia (Exworks)</t>
  </si>
  <si>
    <t>Miscellaneous Spirit</t>
  </si>
  <si>
    <t>NZD</t>
  </si>
  <si>
    <t>Quebec Zone 4 - Valleyfield</t>
  </si>
  <si>
    <t>Illinois</t>
  </si>
  <si>
    <t>Austria</t>
  </si>
  <si>
    <t>Singles</t>
  </si>
  <si>
    <t>Bottles</t>
  </si>
  <si>
    <t>Rum</t>
  </si>
  <si>
    <t>All Other Wine</t>
  </si>
  <si>
    <t>RAND</t>
  </si>
  <si>
    <t>Ontario Zone 1 - Brampton-Bacardi</t>
  </si>
  <si>
    <t>Indiana</t>
  </si>
  <si>
    <t>Belgium</t>
  </si>
  <si>
    <t>Natural Markup</t>
  </si>
  <si>
    <t>Tequila</t>
  </si>
  <si>
    <t>GBP</t>
  </si>
  <si>
    <t>Ontario Zone 2 - Hamilton/Niagara</t>
  </si>
  <si>
    <t>Kentucky</t>
  </si>
  <si>
    <t xml:space="preserve">Chile </t>
  </si>
  <si>
    <t>Vodka</t>
  </si>
  <si>
    <t>USD</t>
  </si>
  <si>
    <t>Maine</t>
  </si>
  <si>
    <t>Czech Republic</t>
  </si>
  <si>
    <t>Whisk(e)y</t>
  </si>
  <si>
    <t xml:space="preserve">Maryland </t>
  </si>
  <si>
    <t>Denmark</t>
  </si>
  <si>
    <t>Ontario Zone 5 - Winona/Grimsby</t>
  </si>
  <si>
    <t>Michigan</t>
  </si>
  <si>
    <t>France</t>
  </si>
  <si>
    <t>Ontario Zone 6 - Ontario Misc.</t>
  </si>
  <si>
    <t>Minnesota</t>
  </si>
  <si>
    <t>Germany (FCA,FOB)</t>
  </si>
  <si>
    <t>Cans</t>
  </si>
  <si>
    <t xml:space="preserve">Missouri </t>
  </si>
  <si>
    <t>Germany (Exworks)</t>
  </si>
  <si>
    <t>Alberta Zone 2 - Calgary</t>
  </si>
  <si>
    <t>New Jersey</t>
  </si>
  <si>
    <t>Greece</t>
  </si>
  <si>
    <t>Alberta Zone 3 - Lethbridge</t>
  </si>
  <si>
    <t>New York</t>
  </si>
  <si>
    <t>Hungary</t>
  </si>
  <si>
    <t>B.C. Zone 1 - B.C Misc.</t>
  </si>
  <si>
    <t>Ohio</t>
  </si>
  <si>
    <t>Ireland</t>
  </si>
  <si>
    <t>B.C. Zone 2 - Oliver-Constellation</t>
  </si>
  <si>
    <t>Pennsylvania</t>
  </si>
  <si>
    <t>Italy</t>
  </si>
  <si>
    <t>B.C. Zone 3 - Vancouver/BCLDB, Misc.</t>
  </si>
  <si>
    <t>Tennessee</t>
  </si>
  <si>
    <t>Jamaica (FOB)</t>
  </si>
  <si>
    <t>B.C. Zone 4 - Vancouver-Mark Anthony</t>
  </si>
  <si>
    <t>Washington</t>
  </si>
  <si>
    <t>Jamaica (Exworks)</t>
  </si>
  <si>
    <t>SRP</t>
  </si>
  <si>
    <t>Wisconsin</t>
  </si>
  <si>
    <t>Netherlands</t>
  </si>
  <si>
    <t>Atlantic Zone 1 - Atlantic Provinces</t>
  </si>
  <si>
    <t>*No Freight</t>
  </si>
  <si>
    <t>New Zealand</t>
  </si>
  <si>
    <t>Manitoba Zone 1 - WETT Sales Warehouse</t>
  </si>
  <si>
    <t>Poland</t>
  </si>
  <si>
    <t>Extra Cost</t>
  </si>
  <si>
    <t>Portugal (FOB,FCA)</t>
  </si>
  <si>
    <t>Portugal (Exworks)</t>
  </si>
  <si>
    <t>South Africa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</si>
  <si>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</si>
  <si>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</si>
  <si>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</si>
  <si>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</si>
  <si>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</si>
  <si>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</si>
  <si>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Uruguay</t>
  </si>
  <si>
    <t>Commercial Consideration</t>
  </si>
  <si>
    <t>Equalization</t>
  </si>
  <si>
    <t>Calculations</t>
  </si>
  <si>
    <t>DPLC</t>
  </si>
  <si>
    <t>Australia (FCA &amp; FOB)</t>
  </si>
  <si>
    <t>Alberta Zone 1 - St. Albert/Edmonton</t>
  </si>
  <si>
    <t>B.C. Zone 5 - Hillebrand Westlink</t>
  </si>
  <si>
    <t>Type</t>
  </si>
  <si>
    <r>
      <t xml:space="preserve">Wine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</si>
  <si>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1.2% - 7%</t>
    </r>
  </si>
  <si>
    <t>Malt Based Cooler</t>
  </si>
  <si>
    <t>Year, Month of PC, Update Number</t>
  </si>
  <si>
    <t>400-699 mL</t>
  </si>
  <si>
    <t>10,000-19,999 L</t>
  </si>
  <si>
    <t>100-374 mL</t>
  </si>
  <si>
    <t>375-699 mL</t>
  </si>
  <si>
    <t>700-3,999 mL</t>
  </si>
  <si>
    <t>MM1880</t>
  </si>
  <si>
    <t>Spirits 200 ml</t>
  </si>
  <si>
    <t>MM1955</t>
  </si>
  <si>
    <t>Spirits 250 ml</t>
  </si>
  <si>
    <t>MM2050</t>
  </si>
  <si>
    <t>Spirits 350 ml</t>
  </si>
  <si>
    <t>MM1601</t>
  </si>
  <si>
    <t>Spirits 3x100 ml</t>
  </si>
  <si>
    <t>MM1602</t>
  </si>
  <si>
    <t>Spirits 4x100 ml</t>
  </si>
  <si>
    <t>MM1813</t>
  </si>
  <si>
    <t>Spirits 4x50 ml</t>
  </si>
  <si>
    <t>MM1933</t>
  </si>
  <si>
    <t>Wine 1200 ml</t>
  </si>
  <si>
    <t>MM2027</t>
  </si>
  <si>
    <t>Wine 2250 ml</t>
  </si>
  <si>
    <t>MM2521</t>
  </si>
  <si>
    <t>Wine 30000 ml</t>
  </si>
  <si>
    <t>MM2565</t>
  </si>
  <si>
    <t>Wine 355 ml</t>
  </si>
  <si>
    <t>MM2137</t>
  </si>
  <si>
    <t>Wine 3750 ml</t>
  </si>
  <si>
    <t>MM1437</t>
  </si>
  <si>
    <t>Wine 473 ml</t>
  </si>
  <si>
    <t>MM2253</t>
  </si>
  <si>
    <t>Wine 4800 ml</t>
  </si>
  <si>
    <t>MM1686</t>
  </si>
  <si>
    <t>Wine 650 ml</t>
  </si>
  <si>
    <t>MM2226</t>
  </si>
  <si>
    <t>Wine 8x750 ml</t>
  </si>
  <si>
    <t>MM2223</t>
  </si>
  <si>
    <t>Wine 4x750 ml</t>
  </si>
  <si>
    <t>MM1453</t>
  </si>
  <si>
    <t>Refreshment Bev. 370 ml</t>
  </si>
  <si>
    <t>MM2547</t>
  </si>
  <si>
    <t>Refreshment Bev. 29330 ml</t>
  </si>
  <si>
    <t>MM2548</t>
  </si>
  <si>
    <t>Refreshment Bev. 10000 ml</t>
  </si>
  <si>
    <t>MM2549</t>
  </si>
  <si>
    <t>Refreshment Bev. 19000 ml</t>
  </si>
  <si>
    <t>MM1551</t>
  </si>
  <si>
    <t>Refreshment Bev. 12x400 ml</t>
  </si>
  <si>
    <t>MM1552</t>
  </si>
  <si>
    <t>Refreshement Bev 4x440 ml</t>
  </si>
  <si>
    <t>MM1588</t>
  </si>
  <si>
    <t>Refreshment Bev. 4x150 ml</t>
  </si>
  <si>
    <t>MM1802</t>
  </si>
  <si>
    <t>Refreshment Bev. 4x270 ml</t>
  </si>
  <si>
    <t>MM1947</t>
  </si>
  <si>
    <t>Refreshment Bev. 8x473 ml</t>
  </si>
  <si>
    <t>MM1948</t>
  </si>
  <si>
    <t>Refreshment Bev. 6x473 ml</t>
  </si>
  <si>
    <t>MM1949</t>
  </si>
  <si>
    <t>Refreshment Bev. 12x473 ml</t>
  </si>
  <si>
    <t>MM1951</t>
  </si>
  <si>
    <t>Refreshment Bev. 24x473 ml</t>
  </si>
  <si>
    <t>MM2143</t>
  </si>
  <si>
    <t>Refreshment Bev. 15x355 ml</t>
  </si>
  <si>
    <t>MM2127</t>
  </si>
  <si>
    <t>Refreshment Bev. 24x341 ml</t>
  </si>
  <si>
    <t>MM1236</t>
  </si>
  <si>
    <t>Beer Cans 404 ml</t>
  </si>
  <si>
    <t>MM1131</t>
  </si>
  <si>
    <t>Beer Bottle 284 ml</t>
  </si>
  <si>
    <t>MM1218</t>
  </si>
  <si>
    <t>Beer Bottles 340 ml</t>
  </si>
  <si>
    <t>MM2564</t>
  </si>
  <si>
    <t>Beer Keg 10000 ml</t>
  </si>
  <si>
    <t>MM1421</t>
  </si>
  <si>
    <t>Beer Bottles4X650 ml</t>
  </si>
  <si>
    <t>MM1907</t>
  </si>
  <si>
    <t>Beer Bottle 22x330 2x355 2x341</t>
  </si>
  <si>
    <t>MM1913</t>
  </si>
  <si>
    <t>Beer Btl 19x330 ml Can3x500 ml</t>
  </si>
  <si>
    <t>MM1914</t>
  </si>
  <si>
    <t>Beer Btl 21x330 Can 3x500 ml</t>
  </si>
  <si>
    <t>MM2099</t>
  </si>
  <si>
    <t>Beer Bottles 22x330 ml</t>
  </si>
  <si>
    <t>MM2107</t>
  </si>
  <si>
    <t>Beer Bottles 20x355ml 4x341ml</t>
  </si>
  <si>
    <t>MM2112</t>
  </si>
  <si>
    <t>Beer Bottle 17x330 5x355 2x310</t>
  </si>
  <si>
    <t>MM2116</t>
  </si>
  <si>
    <t>Beer Bottle 19x355 4x341 1x500</t>
  </si>
  <si>
    <t>MM2119</t>
  </si>
  <si>
    <t>Beer Bottle 12x341 12x330</t>
  </si>
  <si>
    <t>MM2121</t>
  </si>
  <si>
    <t>Beer Bottle 4x355 8x341</t>
  </si>
  <si>
    <t>MM2123</t>
  </si>
  <si>
    <t>Beer Bottles 10x341 2x355 ml</t>
  </si>
  <si>
    <t>MM2124</t>
  </si>
  <si>
    <t>Beer Bottles 8x500 ml</t>
  </si>
  <si>
    <t>MM1274</t>
  </si>
  <si>
    <t>MM1275</t>
  </si>
  <si>
    <t>Beer Cans 4x500 ml</t>
  </si>
  <si>
    <t>MM2562</t>
  </si>
  <si>
    <t>Beer Can 8x222 ml</t>
  </si>
  <si>
    <t>MM2563</t>
  </si>
  <si>
    <t>Beer Can 10x473 ml</t>
  </si>
  <si>
    <t>MM1642</t>
  </si>
  <si>
    <t>Beer Cans 5x473 ml</t>
  </si>
  <si>
    <t>MM1896</t>
  </si>
  <si>
    <t>Beer Cans 6x440 ml + 2x330 ml</t>
  </si>
  <si>
    <t>MM1897</t>
  </si>
  <si>
    <t>Beer Cans 8x440 ml + 2x330 ml</t>
  </si>
  <si>
    <t>MM1898</t>
  </si>
  <si>
    <t>Beer Cans 24x355 ml + 4x250 ml</t>
  </si>
  <si>
    <t>MM1904</t>
  </si>
  <si>
    <t>Beer Cans 4x473 2x500</t>
  </si>
  <si>
    <t>MM2126</t>
  </si>
  <si>
    <t>Beer Cans 24x500 ml</t>
  </si>
  <si>
    <t>MM2566</t>
  </si>
  <si>
    <t>Beer Can 15x473 ml</t>
  </si>
  <si>
    <t>MM1908</t>
  </si>
  <si>
    <t>Beer Cans 12x473 ml</t>
  </si>
  <si>
    <t>MM1909</t>
  </si>
  <si>
    <t>Beer Cans 48x473 ml</t>
  </si>
  <si>
    <t>MM1911</t>
  </si>
  <si>
    <t>Beer Cans 4x222 ml</t>
  </si>
  <si>
    <t>MM1912</t>
  </si>
  <si>
    <t>Beer Cans 17x355 6x330 1x375</t>
  </si>
  <si>
    <t>MM1916</t>
  </si>
  <si>
    <t>Beer Cans 4x330 ml 20x355 ml</t>
  </si>
  <si>
    <t>Units per Case</t>
  </si>
  <si>
    <t>MM1699</t>
  </si>
  <si>
    <t>Liqueur 10x20 ml</t>
  </si>
  <si>
    <t>MM2045</t>
  </si>
  <si>
    <t>Wine 2x1000 ml</t>
  </si>
  <si>
    <t>MM1932</t>
  </si>
  <si>
    <t>Wine 3x250 ml</t>
  </si>
  <si>
    <t>MM1826</t>
  </si>
  <si>
    <t>Wine 4x187.5 ml</t>
  </si>
  <si>
    <t>MM2053</t>
  </si>
  <si>
    <t>Wine 4x375 ml</t>
  </si>
  <si>
    <t>MM2065</t>
  </si>
  <si>
    <t>Wine 6x250 ml</t>
  </si>
  <si>
    <t>MM2370</t>
  </si>
  <si>
    <t>Wine 12x50 ml</t>
  </si>
  <si>
    <t>MM1644</t>
  </si>
  <si>
    <t>100-299 mL</t>
  </si>
  <si>
    <t>300-399 mL</t>
  </si>
  <si>
    <t>100-249 mL</t>
  </si>
  <si>
    <t>250-399 mL</t>
  </si>
  <si>
    <t>Social Reference Price (SRP)</t>
  </si>
  <si>
    <t>Item Grp 01</t>
  </si>
  <si>
    <t>Description</t>
  </si>
  <si>
    <t>Factor Value Numeric</t>
  </si>
  <si>
    <t>Expired Date</t>
  </si>
  <si>
    <t>MM1917</t>
  </si>
  <si>
    <t>B4x473 1x440 1x500 1x330 1x355</t>
  </si>
  <si>
    <t>PM1917</t>
  </si>
  <si>
    <t>MM2577</t>
  </si>
  <si>
    <t>Beer 3470ml x 1</t>
  </si>
  <si>
    <t>PM2577</t>
  </si>
  <si>
    <t>MM1295</t>
  </si>
  <si>
    <t>Beer 454 ml bottle/440 ml can</t>
  </si>
  <si>
    <t>PM1295</t>
  </si>
  <si>
    <t>PM2119</t>
  </si>
  <si>
    <t>MM2581</t>
  </si>
  <si>
    <t>Beer Bottle 15x341 ml</t>
  </si>
  <si>
    <t>PM2581</t>
  </si>
  <si>
    <t>PM2112</t>
  </si>
  <si>
    <t>PM2113</t>
  </si>
  <si>
    <t>MM2584</t>
  </si>
  <si>
    <t>Beer Bottle 18x341 ml</t>
  </si>
  <si>
    <t>PM2584</t>
  </si>
  <si>
    <t>MM2600</t>
  </si>
  <si>
    <t>Beer Bottle 18x355 ml</t>
  </si>
  <si>
    <t>PM2600</t>
  </si>
  <si>
    <t>PM2116</t>
  </si>
  <si>
    <t>MM2604</t>
  </si>
  <si>
    <t>Beer Bottle 20x330 4x250</t>
  </si>
  <si>
    <t>PM2604</t>
  </si>
  <si>
    <t>PM2117</t>
  </si>
  <si>
    <t>PM1907</t>
  </si>
  <si>
    <t>PM1131</t>
  </si>
  <si>
    <t>PM2121</t>
  </si>
  <si>
    <t>PM1542</t>
  </si>
  <si>
    <t>PM2123</t>
  </si>
  <si>
    <t>PM1555</t>
  </si>
  <si>
    <t>PM1681</t>
  </si>
  <si>
    <t>PM1910</t>
  </si>
  <si>
    <t>PM1935</t>
  </si>
  <si>
    <t>PM2122</t>
  </si>
  <si>
    <t>PM1635</t>
  </si>
  <si>
    <t>PM1082</t>
  </si>
  <si>
    <t>PM1750</t>
  </si>
  <si>
    <t>PM1086</t>
  </si>
  <si>
    <t>PM2107</t>
  </si>
  <si>
    <t>PM1110</t>
  </si>
  <si>
    <t>PM2099</t>
  </si>
  <si>
    <t>PM2102</t>
  </si>
  <si>
    <t>PM2101</t>
  </si>
  <si>
    <t>PM2103</t>
  </si>
  <si>
    <t>PM1115</t>
  </si>
  <si>
    <t>PM1130</t>
  </si>
  <si>
    <t>PM1425</t>
  </si>
  <si>
    <t>PM1428</t>
  </si>
  <si>
    <t>PM1426</t>
  </si>
  <si>
    <t>PM1447</t>
  </si>
  <si>
    <t>PM1170</t>
  </si>
  <si>
    <t>PM1195</t>
  </si>
  <si>
    <t>PM1205</t>
  </si>
  <si>
    <t>PM1215</t>
  </si>
  <si>
    <t>PM1217</t>
  </si>
  <si>
    <t>PM1218</t>
  </si>
  <si>
    <t>PM1220</t>
  </si>
  <si>
    <t>PM1225</t>
  </si>
  <si>
    <t>PM1237</t>
  </si>
  <si>
    <t>PM1240</t>
  </si>
  <si>
    <t>PM1242</t>
  </si>
  <si>
    <t>PM1255</t>
  </si>
  <si>
    <t>PM1540</t>
  </si>
  <si>
    <t>PM1424</t>
  </si>
  <si>
    <t>PM1446</t>
  </si>
  <si>
    <t>PM1290</t>
  </si>
  <si>
    <t>PM1296</t>
  </si>
  <si>
    <t>PM1305</t>
  </si>
  <si>
    <t>PM1120</t>
  </si>
  <si>
    <t>PM2106</t>
  </si>
  <si>
    <t>PM1560</t>
  </si>
  <si>
    <t>PM1786</t>
  </si>
  <si>
    <t>PM2104</t>
  </si>
  <si>
    <t>PM1376</t>
  </si>
  <si>
    <t>PM1325</t>
  </si>
  <si>
    <t>PM1350</t>
  </si>
  <si>
    <t>PM1360</t>
  </si>
  <si>
    <t>PM2108</t>
  </si>
  <si>
    <t>PM1375</t>
  </si>
  <si>
    <t>PM1377</t>
  </si>
  <si>
    <t>PM1380</t>
  </si>
  <si>
    <t>PM1385</t>
  </si>
  <si>
    <t>PM1395</t>
  </si>
  <si>
    <t>PM1410</t>
  </si>
  <si>
    <t>PM1415</t>
  </si>
  <si>
    <t>PM1417</t>
  </si>
  <si>
    <t>PM1655</t>
  </si>
  <si>
    <t>PM1658</t>
  </si>
  <si>
    <t>PM1680</t>
  </si>
  <si>
    <t>PM1690</t>
  </si>
  <si>
    <t>PM1705</t>
  </si>
  <si>
    <t>PM1710</t>
  </si>
  <si>
    <t>PM2109</t>
  </si>
  <si>
    <t>PM1427</t>
  </si>
  <si>
    <t>PM1445</t>
  </si>
  <si>
    <t>PM1448</t>
  </si>
  <si>
    <t>PM1785</t>
  </si>
  <si>
    <t>PM2124</t>
  </si>
  <si>
    <t>PM1517</t>
  </si>
  <si>
    <t>PM1525</t>
  </si>
  <si>
    <t>PM1421</t>
  </si>
  <si>
    <t>PM1913</t>
  </si>
  <si>
    <t>PM1914</t>
  </si>
  <si>
    <t>MM2588</t>
  </si>
  <si>
    <t>Beer can 12x236 ml</t>
  </si>
  <si>
    <t>PM2588</t>
  </si>
  <si>
    <t>MM2586</t>
  </si>
  <si>
    <t>Beer can 30x355 ml</t>
  </si>
  <si>
    <t>PM2586</t>
  </si>
  <si>
    <t>PM1461</t>
  </si>
  <si>
    <t>PM2170</t>
  </si>
  <si>
    <t>PM1887</t>
  </si>
  <si>
    <t>Beer Cans 10x473 ml</t>
  </si>
  <si>
    <t>PM2563</t>
  </si>
  <si>
    <t>PM1889</t>
  </si>
  <si>
    <t>PM1976</t>
  </si>
  <si>
    <t>PM1888</t>
  </si>
  <si>
    <t>PM1902</t>
  </si>
  <si>
    <t>MM1906</t>
  </si>
  <si>
    <t>Beer Cans 12x355 ml Btl 12x341</t>
  </si>
  <si>
    <t>PM1906</t>
  </si>
  <si>
    <t>PM1908</t>
  </si>
  <si>
    <t>MM1918</t>
  </si>
  <si>
    <t>Beer Cans 13x355 ml</t>
  </si>
  <si>
    <t>PM1918</t>
  </si>
  <si>
    <t>PM1891</t>
  </si>
  <si>
    <t>Beer Cans 15x473 ml</t>
  </si>
  <si>
    <t>PM2566</t>
  </si>
  <si>
    <t>PM1912</t>
  </si>
  <si>
    <t>MM2580</t>
  </si>
  <si>
    <t>Beer Cans 18x355 ml</t>
  </si>
  <si>
    <t>PM2580</t>
  </si>
  <si>
    <t>PM1665</t>
  </si>
  <si>
    <t>MM2585</t>
  </si>
  <si>
    <t>Beer Cans 20x355 ml</t>
  </si>
  <si>
    <t>PM2585</t>
  </si>
  <si>
    <t>PM1886</t>
  </si>
  <si>
    <t>PM1901</t>
  </si>
  <si>
    <t>PM1898</t>
  </si>
  <si>
    <t>PM1892</t>
  </si>
  <si>
    <t>PM2126</t>
  </si>
  <si>
    <t>PM1084</t>
  </si>
  <si>
    <t>PM1271</t>
  </si>
  <si>
    <t>Beer Cans 2x650 ml</t>
  </si>
  <si>
    <t>PM1341</t>
  </si>
  <si>
    <t>PM1903</t>
  </si>
  <si>
    <t>PM1135</t>
  </si>
  <si>
    <t>PM1145</t>
  </si>
  <si>
    <t>PM1150</t>
  </si>
  <si>
    <t>PM1155</t>
  </si>
  <si>
    <t>PM1162</t>
  </si>
  <si>
    <t>PM1165</t>
  </si>
  <si>
    <t>PM1899</t>
  </si>
  <si>
    <t>PM1175</t>
  </si>
  <si>
    <t>PM1893</t>
  </si>
  <si>
    <t>PM1884</t>
  </si>
  <si>
    <t>PM1236</t>
  </si>
  <si>
    <t>PM1239</t>
  </si>
  <si>
    <t>PM1245</t>
  </si>
  <si>
    <t>PM1265</t>
  </si>
  <si>
    <t>MM2593</t>
  </si>
  <si>
    <t>Beer Cans 48x355 ml</t>
  </si>
  <si>
    <t>PM2593</t>
  </si>
  <si>
    <t>PM1909</t>
  </si>
  <si>
    <t>PM1911</t>
  </si>
  <si>
    <t>MM2590</t>
  </si>
  <si>
    <t>Beer Cans 4x236 ml</t>
  </si>
  <si>
    <t>PM2590</t>
  </si>
  <si>
    <t>PM1883</t>
  </si>
  <si>
    <t>PM1916</t>
  </si>
  <si>
    <t>MM2583</t>
  </si>
  <si>
    <t>Beer Cans 4x355 ml</t>
  </si>
  <si>
    <t>PM2583</t>
  </si>
  <si>
    <t>MM2595</t>
  </si>
  <si>
    <t>Beer Cans 4x440 ml</t>
  </si>
  <si>
    <t>PM2595</t>
  </si>
  <si>
    <t>PM1904</t>
  </si>
  <si>
    <t>PM1274</t>
  </si>
  <si>
    <t>Beer Cans 4x480 ml</t>
  </si>
  <si>
    <t>PM1644</t>
  </si>
  <si>
    <t>PM1275</t>
  </si>
  <si>
    <t>PM1270</t>
  </si>
  <si>
    <t>PM1975</t>
  </si>
  <si>
    <t>PM1272</t>
  </si>
  <si>
    <t>PM1642</t>
  </si>
  <si>
    <t>PM1340</t>
  </si>
  <si>
    <t>PM1405</t>
  </si>
  <si>
    <t>PM1660</t>
  </si>
  <si>
    <t>PM1675</t>
  </si>
  <si>
    <t>PM1692</t>
  </si>
  <si>
    <t>PM1695</t>
  </si>
  <si>
    <t>PM1896</t>
  </si>
  <si>
    <t>PM1640</t>
  </si>
  <si>
    <t>MM1643</t>
  </si>
  <si>
    <t>Beer Cans 6x500 ml</t>
  </si>
  <si>
    <t>PM1643</t>
  </si>
  <si>
    <t>PM1345</t>
  </si>
  <si>
    <t>PM1342</t>
  </si>
  <si>
    <t>Beer Cans 8x222 ml</t>
  </si>
  <si>
    <t>PM2562</t>
  </si>
  <si>
    <t>MM2591</t>
  </si>
  <si>
    <t>Beer Cans 8x236 ml</t>
  </si>
  <si>
    <t>PM2591</t>
  </si>
  <si>
    <t>MM1276</t>
  </si>
  <si>
    <t>Beer Cans 8x355 ml</t>
  </si>
  <si>
    <t>PM1276</t>
  </si>
  <si>
    <t>PM1885</t>
  </si>
  <si>
    <t>PM1897</t>
  </si>
  <si>
    <t>PM1882</t>
  </si>
  <si>
    <t>PM1273</t>
  </si>
  <si>
    <t>MM2601</t>
  </si>
  <si>
    <t>Beer Cans 946 ml</t>
  </si>
  <si>
    <t>PM2601</t>
  </si>
  <si>
    <t>PM1894</t>
  </si>
  <si>
    <t>PM2564</t>
  </si>
  <si>
    <t>MM2596</t>
  </si>
  <si>
    <t>Beer Keg 18000 ml</t>
  </si>
  <si>
    <t>PM2596</t>
  </si>
  <si>
    <t>MM2587</t>
  </si>
  <si>
    <t>Beer Keg 18500 ml</t>
  </si>
  <si>
    <t>PM2587</t>
  </si>
  <si>
    <t>MM2592</t>
  </si>
  <si>
    <t>Beer Keg 18900 ml</t>
  </si>
  <si>
    <t>PM2592</t>
  </si>
  <si>
    <t>PM2558</t>
  </si>
  <si>
    <t>MM2594</t>
  </si>
  <si>
    <t>Beer Keg 19500 ml</t>
  </si>
  <si>
    <t>PM2594</t>
  </si>
  <si>
    <t>PM2557</t>
  </si>
  <si>
    <t>MM2567</t>
  </si>
  <si>
    <t>Beer Keg 2 x 20000 ml</t>
  </si>
  <si>
    <t>PM2567</t>
  </si>
  <si>
    <t>PM2560</t>
  </si>
  <si>
    <t>MM2582</t>
  </si>
  <si>
    <t>Beer Keg 20460 ml</t>
  </si>
  <si>
    <t>PM2582</t>
  </si>
  <si>
    <t>PM2561</t>
  </si>
  <si>
    <t>MM2599</t>
  </si>
  <si>
    <t>Beer Keg 29400 ml</t>
  </si>
  <si>
    <t>PM2599</t>
  </si>
  <si>
    <t>PM2559</t>
  </si>
  <si>
    <t>PM2410</t>
  </si>
  <si>
    <t>PM2415</t>
  </si>
  <si>
    <t>PM2430</t>
  </si>
  <si>
    <t>MM2589</t>
  </si>
  <si>
    <t>Beer Keg 58000 ml</t>
  </si>
  <si>
    <t>PM2589</t>
  </si>
  <si>
    <t>PM2460</t>
  </si>
  <si>
    <t>PM2465</t>
  </si>
  <si>
    <t>MM2579</t>
  </si>
  <si>
    <t>Beer Keg 58670 ml</t>
  </si>
  <si>
    <t>PM2579</t>
  </si>
  <si>
    <t>PM1645</t>
  </si>
  <si>
    <t>Adj Name</t>
  </si>
  <si>
    <t>Item Group</t>
  </si>
  <si>
    <t>MMBRLCVD</t>
  </si>
  <si>
    <t>MINMRKUP</t>
  </si>
  <si>
    <t>MMBRMLCC</t>
  </si>
  <si>
    <t>MM1580</t>
  </si>
  <si>
    <t>MM1670</t>
  </si>
  <si>
    <t>MM2285</t>
  </si>
  <si>
    <t>MM1755</t>
  </si>
  <si>
    <t>MM2178</t>
  </si>
  <si>
    <t>MM1310</t>
  </si>
  <si>
    <t>MM2060</t>
  </si>
  <si>
    <t>MM1400</t>
  </si>
  <si>
    <t>MM1460</t>
  </si>
  <si>
    <t>MM2135</t>
  </si>
  <si>
    <t>MM2195</t>
  </si>
  <si>
    <t>MM2205</t>
  </si>
  <si>
    <t>MM2240</t>
  </si>
  <si>
    <t>MM2605</t>
  </si>
  <si>
    <t>MM1366</t>
  </si>
  <si>
    <t>MM2306</t>
  </si>
  <si>
    <t>MM1456</t>
  </si>
  <si>
    <t>MM2606</t>
  </si>
  <si>
    <t>MM2097</t>
  </si>
  <si>
    <t>MM2096</t>
  </si>
  <si>
    <t>MM2320</t>
  </si>
  <si>
    <t>MM2597</t>
  </si>
  <si>
    <t>MM2177</t>
  </si>
  <si>
    <t>MM2365</t>
  </si>
  <si>
    <t>MM2390</t>
  </si>
  <si>
    <t>MM2174</t>
  </si>
  <si>
    <t>MM2578</t>
  </si>
  <si>
    <t>MM2078</t>
  </si>
  <si>
    <t>MM2440</t>
  </si>
  <si>
    <t>MM2077</t>
  </si>
  <si>
    <t>MM2079</t>
  </si>
  <si>
    <t>MM2110</t>
  </si>
  <si>
    <t>MM2146</t>
  </si>
  <si>
    <t>MM1603</t>
  </si>
  <si>
    <t>MM2081</t>
  </si>
  <si>
    <t>MM2541</t>
  </si>
  <si>
    <t>MM2544</t>
  </si>
  <si>
    <t>MM2275</t>
  </si>
  <si>
    <t>MM2274</t>
  </si>
  <si>
    <t>MM2248</t>
  </si>
  <si>
    <t>MM2056</t>
  </si>
  <si>
    <t>MM2522</t>
  </si>
  <si>
    <t>MM2603</t>
  </si>
  <si>
    <t>Trial Pricing Calculator</t>
  </si>
  <si>
    <t>One-Pour Cocktail</t>
  </si>
  <si>
    <t>Ready_to_Drink</t>
  </si>
  <si>
    <t>Certificate_of_Origin</t>
  </si>
  <si>
    <t>InternationalF</t>
  </si>
  <si>
    <t>CanadaF</t>
  </si>
  <si>
    <t>Alcohol Percent</t>
  </si>
  <si>
    <t>Freight Zone rate</t>
  </si>
  <si>
    <t>Bulk Wine 12x750 ml</t>
  </si>
  <si>
    <t>Liqueur 100 ml</t>
  </si>
  <si>
    <t>Liqueur 1000 ml</t>
  </si>
  <si>
    <t>Liqueur 150 ml</t>
  </si>
  <si>
    <t>Liqueur 20x50 ml</t>
  </si>
  <si>
    <t>Liqueur 30 ml</t>
  </si>
  <si>
    <t>Liqueur 375 ml</t>
  </si>
  <si>
    <t>Liqueur 40 ml</t>
  </si>
  <si>
    <t>Liqueur 50 ml</t>
  </si>
  <si>
    <t>Liqueur 500 ml</t>
  </si>
  <si>
    <t>Liqueur 700 ml</t>
  </si>
  <si>
    <t>Liqueur 710 ml</t>
  </si>
  <si>
    <t>Liqueur 750 ml</t>
  </si>
  <si>
    <t>Refreshment Bev 4x440 ml</t>
  </si>
  <si>
    <t>Refreshment Bev. 1183 ml</t>
  </si>
  <si>
    <t>Refreshment Bev. 255 ml</t>
  </si>
  <si>
    <t>Refreshment Bev. 30x355ml</t>
  </si>
  <si>
    <t>Refreshment Bev. 396 ml</t>
  </si>
  <si>
    <t>Refreshment Bev. 3x375ml</t>
  </si>
  <si>
    <t>Refreshment Bev. 5000 ml</t>
  </si>
  <si>
    <t>Refreshment Bev. 6000 ml</t>
  </si>
  <si>
    <t>Spirits 1140 ml</t>
  </si>
  <si>
    <t>Spirits 120 ml</t>
  </si>
  <si>
    <t>Spirits 12x50 ml</t>
  </si>
  <si>
    <t>Spirits 1500 ml</t>
  </si>
  <si>
    <t>Spirits 1750 ml</t>
  </si>
  <si>
    <t>Spirits 24x30 ml</t>
  </si>
  <si>
    <t>Spirits 28.4 ml</t>
  </si>
  <si>
    <t>Spirits 2x750 ml</t>
  </si>
  <si>
    <t>Spirits 3000 ml</t>
  </si>
  <si>
    <t>Spirits 3x375 ml</t>
  </si>
  <si>
    <t>Spirits 3x750 ml</t>
  </si>
  <si>
    <t>Spirits 450 ml</t>
  </si>
  <si>
    <t>Spirits 460 ml</t>
  </si>
  <si>
    <t>Spirits 4x125 ml</t>
  </si>
  <si>
    <t>Spirits 4x750 ml</t>
  </si>
  <si>
    <t>Spirits 5250 ml</t>
  </si>
  <si>
    <t>Spirits 6000 ml</t>
  </si>
  <si>
    <t>Spirits 750 ml and 200 ml</t>
  </si>
  <si>
    <t>Spirits 750 ml and 2x100 ml</t>
  </si>
  <si>
    <t>Spirits 750 ml and 3x50 ml</t>
  </si>
  <si>
    <t>Spirits 7x50 ml</t>
  </si>
  <si>
    <t>Wine 50000 ml</t>
  </si>
  <si>
    <t>Wine 5x200ml</t>
  </si>
  <si>
    <t>Units per package</t>
  </si>
  <si>
    <t>Container type</t>
  </si>
  <si>
    <t>Total ml size</t>
  </si>
  <si>
    <t>Total liter size</t>
  </si>
  <si>
    <t>Q03</t>
  </si>
  <si>
    <t>beer 15 pack cans</t>
  </si>
  <si>
    <t>Q04</t>
  </si>
  <si>
    <t>beer 20 pack cans</t>
  </si>
  <si>
    <t>Q05</t>
  </si>
  <si>
    <t>beer 24 pack bottles</t>
  </si>
  <si>
    <t>Q06</t>
  </si>
  <si>
    <t>beer 30 pack cans</t>
  </si>
  <si>
    <t>Q07</t>
  </si>
  <si>
    <t>beer 36 pack cans</t>
  </si>
  <si>
    <t>Q08</t>
  </si>
  <si>
    <t>beer 8 pack cans</t>
  </si>
  <si>
    <t>Q10</t>
  </si>
  <si>
    <t>refreshment bev. 50 to 400ml</t>
  </si>
  <si>
    <t>Q12</t>
  </si>
  <si>
    <t>refreshment bev. 401 to 469ml</t>
  </si>
  <si>
    <t>Q15</t>
  </si>
  <si>
    <t>refreshment bev. 470 to 659 ml</t>
  </si>
  <si>
    <t>Q17</t>
  </si>
  <si>
    <t>refreshment bev. 660 to 749ml</t>
  </si>
  <si>
    <t>Q20</t>
  </si>
  <si>
    <t>refreshment bev. 750 to 899ml</t>
  </si>
  <si>
    <t>Q27</t>
  </si>
  <si>
    <t>refreshment bev.  900 to 999ml</t>
  </si>
  <si>
    <t>Q30</t>
  </si>
  <si>
    <t>refreshment bev. 1L</t>
  </si>
  <si>
    <t>Q35</t>
  </si>
  <si>
    <t>refreshment bev. 1.14L</t>
  </si>
  <si>
    <t>Q40</t>
  </si>
  <si>
    <t>spirits 50ml</t>
  </si>
  <si>
    <t>Q50</t>
  </si>
  <si>
    <t>wine 750ml&amp;1L, sprt1.14,rb1.75</t>
  </si>
  <si>
    <t>Q60</t>
  </si>
  <si>
    <t>refreshment bev. 2L</t>
  </si>
  <si>
    <t>Q65</t>
  </si>
  <si>
    <t>refreshment bev. 3L</t>
  </si>
  <si>
    <t>Q70</t>
  </si>
  <si>
    <t>spirits 200ml, spirits 1.75L</t>
  </si>
  <si>
    <t>Q75</t>
  </si>
  <si>
    <t>spirits 375ml</t>
  </si>
  <si>
    <t>Q80</t>
  </si>
  <si>
    <t>not used at this time</t>
  </si>
  <si>
    <t>Q82</t>
  </si>
  <si>
    <t>wine 1.5L</t>
  </si>
  <si>
    <t>Q84</t>
  </si>
  <si>
    <t>wine 2L</t>
  </si>
  <si>
    <t>Q86</t>
  </si>
  <si>
    <t>wine 3L</t>
  </si>
  <si>
    <t>Q90</t>
  </si>
  <si>
    <t>wine 4L to 6L</t>
  </si>
  <si>
    <t>Q91</t>
  </si>
  <si>
    <t>wine 7L to 10L</t>
  </si>
  <si>
    <t>Q93</t>
  </si>
  <si>
    <t>wine 19.5L</t>
  </si>
  <si>
    <t>Q94</t>
  </si>
  <si>
    <t>wine 15L</t>
  </si>
  <si>
    <t>Q95</t>
  </si>
  <si>
    <t>wine 16L</t>
  </si>
  <si>
    <t>Q96</t>
  </si>
  <si>
    <t>wine 19L</t>
  </si>
  <si>
    <t>Q97</t>
  </si>
  <si>
    <t>wine 18L</t>
  </si>
  <si>
    <t>Q98</t>
  </si>
  <si>
    <t>wine 20L</t>
  </si>
  <si>
    <t>Q99</t>
  </si>
  <si>
    <t>wine 22L</t>
  </si>
  <si>
    <t>Code</t>
  </si>
  <si>
    <t>Individual Container Size</t>
  </si>
  <si>
    <t>Minimum Micro</t>
  </si>
  <si>
    <t>Mark-up</t>
  </si>
  <si>
    <t>Category</t>
  </si>
  <si>
    <t>Total mls</t>
  </si>
  <si>
    <t>Regular Min. Markup -Spirits and Liqueur (Singles)</t>
  </si>
  <si>
    <t>Regular Min. Markup (Package Liqueur)</t>
  </si>
  <si>
    <t>Regular Min. Markup (Package Spirits)</t>
  </si>
  <si>
    <t>Regular Min. Markup (Singles)</t>
  </si>
  <si>
    <t>Regular Min. Markup (Package)</t>
  </si>
  <si>
    <t>Removed due to duplicate ML sizes</t>
  </si>
  <si>
    <t>Total ML's</t>
  </si>
  <si>
    <r>
      <t xml:space="preserve">Spirit </t>
    </r>
    <r>
      <rPr>
        <b/>
        <sz val="10"/>
        <color theme="1"/>
        <rFont val="Calibri"/>
        <family val="2"/>
        <scheme val="minor"/>
      </rPr>
      <t>&lt;7%</t>
    </r>
  </si>
  <si>
    <r>
      <t xml:space="preserve">Spirit </t>
    </r>
    <r>
      <rPr>
        <b/>
        <sz val="10"/>
        <color theme="1"/>
        <rFont val="Calibri"/>
        <family val="2"/>
        <scheme val="minor"/>
      </rPr>
      <t>&gt;7%</t>
    </r>
  </si>
  <si>
    <t>Ontario Zone 3 - Toronto/Mississauga</t>
  </si>
  <si>
    <t>Ontario Zone 4 - Windsor/Walkerville</t>
  </si>
  <si>
    <t xml:space="preserve">Per Litre &lt;1 litre </t>
  </si>
  <si>
    <t xml:space="preserve">Per Litre 1.001 ‐ 3.000 litres </t>
  </si>
  <si>
    <t>Per litre 3.001 ‐ 13.000 litres</t>
  </si>
  <si>
    <t>Kegs &gt;13.000 litres</t>
  </si>
  <si>
    <t>Minimum Markup - Beer Private</t>
  </si>
  <si>
    <t>Beer Private</t>
  </si>
  <si>
    <t>PRIVATE DISTRIBUTION</t>
  </si>
  <si>
    <t>Gross Price to Brewer</t>
  </si>
  <si>
    <t>PRIVATE BEER PRICING</t>
  </si>
  <si>
    <t>General Pricing</t>
  </si>
  <si>
    <t>Price to Licensee</t>
  </si>
  <si>
    <t>Retail Price</t>
  </si>
  <si>
    <t>Markup &amp; Surcharge</t>
  </si>
  <si>
    <t>Level</t>
  </si>
  <si>
    <t xml:space="preserve">Lic/Ven </t>
  </si>
  <si>
    <t>Retail Price - Reverse Pricing</t>
  </si>
  <si>
    <t>Licensee Price - Reverse Pricing</t>
  </si>
  <si>
    <t>Licensee Price</t>
  </si>
  <si>
    <t>Ready_to_Drink(Private)</t>
  </si>
  <si>
    <t>Private_Distribution_Beer</t>
  </si>
  <si>
    <t>Private_Distribution_RTD</t>
  </si>
  <si>
    <t>Handling Charge (Private Beer)</t>
  </si>
  <si>
    <t>Licensee Price-Beer</t>
  </si>
  <si>
    <t>Select</t>
  </si>
  <si>
    <t>After markup value</t>
  </si>
  <si>
    <t>MBLL PRICING</t>
  </si>
  <si>
    <t>Unit cost</t>
  </si>
  <si>
    <t>Exchange</t>
  </si>
  <si>
    <t>MARKUP</t>
  </si>
  <si>
    <t>Retail Minus charges</t>
  </si>
  <si>
    <t>Lic Natural Makup</t>
  </si>
  <si>
    <t>Min Mup Beer MBLL</t>
  </si>
  <si>
    <t>Minimum Markup Rates</t>
  </si>
  <si>
    <t>Calculation</t>
  </si>
  <si>
    <t xml:space="preserve">% </t>
  </si>
  <si>
    <t>$</t>
  </si>
  <si>
    <t>Mead/Other</t>
  </si>
  <si>
    <t>Refreshment Beverage/Ciders</t>
  </si>
  <si>
    <t>Beer - LIC/VEN Retail</t>
  </si>
  <si>
    <t>Beer - MBLL Retail</t>
  </si>
  <si>
    <t>Full Markup</t>
  </si>
  <si>
    <t>Natural markup</t>
  </si>
  <si>
    <t>Mark-up RTD</t>
  </si>
  <si>
    <r>
      <rPr>
        <b/>
        <sz val="14"/>
        <color theme="0"/>
        <rFont val="Calibri"/>
        <family val="2"/>
        <scheme val="minor"/>
      </rPr>
      <t xml:space="preserve">Retail Price </t>
    </r>
    <r>
      <rPr>
        <b/>
        <sz val="13"/>
        <color theme="0"/>
        <rFont val="Calibri"/>
        <family val="2"/>
        <scheme val="minor"/>
      </rPr>
      <t xml:space="preserve">                               (before taxes and deposit)</t>
    </r>
  </si>
  <si>
    <t>Base Unit Price</t>
  </si>
  <si>
    <t>Standard Freight rate/Liter</t>
  </si>
  <si>
    <t>Customs Duty</t>
  </si>
  <si>
    <t>Excise Duty</t>
  </si>
  <si>
    <t>Per Package Surcharge</t>
  </si>
  <si>
    <t>Equalization Charge</t>
  </si>
  <si>
    <t>CALCULATIONS - MBLL</t>
  </si>
  <si>
    <t>CALCULATIONS - PRIVATE</t>
  </si>
  <si>
    <t>TOTAL</t>
  </si>
  <si>
    <t>Beer Extra</t>
  </si>
  <si>
    <t>Please select if MBLL Distribution or PRIVATE Distribution</t>
  </si>
  <si>
    <t>Markup Licensee</t>
  </si>
  <si>
    <t>Lic Natural Markup</t>
  </si>
  <si>
    <t>Mark-up Licensee</t>
  </si>
  <si>
    <t>Minimum Mark-up</t>
  </si>
  <si>
    <t>SUM (GIFT PACK)</t>
  </si>
  <si>
    <t>MBLL PARTNERS.CA/LIQUOR-AGENTS-SUPPLIERS</t>
  </si>
  <si>
    <t>*Please refer to the Pricing Information Manual for additional info.</t>
  </si>
  <si>
    <t>MM1258</t>
  </si>
  <si>
    <t>Refreshment Bev. 4x200 ml</t>
  </si>
  <si>
    <t>07/26/2024</t>
  </si>
  <si>
    <t>12/31/2040</t>
  </si>
  <si>
    <t>MM2602</t>
  </si>
  <si>
    <t>Spirits 8x50 ml</t>
  </si>
  <si>
    <t>07/08/2024</t>
  </si>
  <si>
    <t>MM2607</t>
  </si>
  <si>
    <t>Refreshment Bev. 6x285 ml</t>
  </si>
  <si>
    <t>08/08/2024</t>
  </si>
  <si>
    <t>MM2608</t>
  </si>
  <si>
    <t>Refreshment Bev. 4x285 ml</t>
  </si>
  <si>
    <t>08/16/2024</t>
  </si>
  <si>
    <t>MM2609</t>
  </si>
  <si>
    <t>Liqueur 10x30 ml</t>
  </si>
  <si>
    <t>08/27/2024</t>
  </si>
  <si>
    <t>Wine 5x200 ml</t>
  </si>
  <si>
    <t>Effective January 1, 2025</t>
  </si>
  <si>
    <t>&lt;60 mL</t>
  </si>
  <si>
    <t>60-99 mL</t>
  </si>
  <si>
    <t>MBLL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</si>
</sst>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"/>
    <numFmt numFmtId="167" formatCode="&quot;$&quot;#,##0.00"/>
    <numFmt numFmtId="168" formatCode="0.0%"/>
    <numFmt numFmtId="169" formatCode="mm/dd/yyyy"/>
    <numFmt numFmtId="170" formatCode="#,##0.0000"/>
    <numFmt numFmtId="171" formatCode="&quot;$&quot;#,##0.0000;\-&quot;$&quot;#,##0.0000"/>
    <numFmt numFmtId="172" formatCode="0.000"/>
    <numFmt numFmtId="173" formatCode="0.000000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  <scheme val="maj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Calibri"/>
    </font>
    <font>
      <b/>
      <sz val="10"/>
      <color rgb="FF00206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7"/>
      <color rgb="FF00206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25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3"/>
      <color theme="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i/>
      <sz val="10"/>
      <color theme="8" tint="-0.499984740745262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sz val="13"/>
      <color rgb="FF7030A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sz val="13"/>
      <color theme="0"/>
      <name val="Calibri"/>
      <family val="2"/>
      <scheme val="minor"/>
    </font>
    <font>
      <b/>
      <i/>
      <sz val="10"/>
      <color theme="7" tint="-0.499984740745262"/>
      <name val="Calibri"/>
      <family val="2"/>
      <scheme val="minor"/>
    </font>
    <font>
      <b/>
      <sz val="13"/>
      <color theme="7" tint="-0.499984740745262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8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7FFD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6EDF6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7FFE7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/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/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21">
    <xf numFmtId="0" fontId="0" fillId="0" borderId="0"/>
    <xf numFmtId="0" fontId="7" fillId="0" borderId="0"/>
    <xf numFmtId="0" fontId="7" fillId="0" borderId="0"/>
    <xf numFmtId="0" fontId="1" fillId="0" borderId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1" fillId="0" borderId="27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1" borderId="28" applyNumberFormat="0" applyAlignment="0" applyProtection="0"/>
    <xf numFmtId="0" fontId="25" fillId="12" borderId="29" applyNumberFormat="0" applyAlignment="0" applyProtection="0"/>
    <xf numFmtId="0" fontId="26" fillId="12" borderId="28" applyNumberFormat="0" applyAlignment="0" applyProtection="0"/>
    <xf numFmtId="0" fontId="27" fillId="0" borderId="30" applyNumberFormat="0" applyFill="0" applyAlignment="0" applyProtection="0"/>
    <xf numFmtId="0" fontId="2" fillId="13" borderId="31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33" applyNumberFormat="0" applyFill="0" applyAlignment="0" applyProtection="0"/>
    <xf numFmtId="0" fontId="3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1" fillId="0" borderId="0"/>
    <xf numFmtId="164" fontId="31" fillId="0" borderId="0" applyFont="0" applyFill="0" applyBorder="0" applyAlignment="0" applyProtection="0"/>
    <xf numFmtId="0" fontId="1" fillId="0" borderId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6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47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48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4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49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5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51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52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5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54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49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55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40" borderId="0" applyNumberFormat="0" applyBorder="0" applyAlignment="0" applyProtection="0"/>
    <xf numFmtId="0" fontId="26" fillId="12" borderId="28" applyNumberFormat="0" applyAlignment="0" applyProtection="0"/>
    <xf numFmtId="0" fontId="26" fillId="12" borderId="28" applyNumberFormat="0" applyAlignment="0" applyProtection="0"/>
    <xf numFmtId="0" fontId="26" fillId="12" borderId="28" applyNumberFormat="0" applyAlignment="0" applyProtection="0"/>
    <xf numFmtId="0" fontId="26" fillId="12" borderId="28" applyNumberFormat="0" applyAlignment="0" applyProtection="0"/>
    <xf numFmtId="0" fontId="26" fillId="12" borderId="28" applyNumberFormat="0" applyAlignment="0" applyProtection="0"/>
    <xf numFmtId="0" fontId="26" fillId="12" borderId="28" applyNumberFormat="0" applyAlignment="0" applyProtection="0"/>
    <xf numFmtId="0" fontId="35" fillId="43" borderId="28" applyNumberFormat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41" borderId="0" applyNumberFormat="0" applyBorder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36" fillId="0" borderId="34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37" fillId="0" borderId="35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38" fillId="0" borderId="3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1" borderId="28" applyNumberFormat="0" applyAlignment="0" applyProtection="0"/>
    <xf numFmtId="0" fontId="24" fillId="11" borderId="28" applyNumberFormat="0" applyAlignment="0" applyProtection="0"/>
    <xf numFmtId="0" fontId="24" fillId="11" borderId="28" applyNumberFormat="0" applyAlignment="0" applyProtection="0"/>
    <xf numFmtId="0" fontId="24" fillId="11" borderId="28" applyNumberFormat="0" applyAlignment="0" applyProtection="0"/>
    <xf numFmtId="0" fontId="24" fillId="11" borderId="28" applyNumberFormat="0" applyAlignment="0" applyProtection="0"/>
    <xf numFmtId="0" fontId="24" fillId="11" borderId="28" applyNumberFormat="0" applyAlignment="0" applyProtection="0"/>
    <xf numFmtId="0" fontId="24" fillId="43" borderId="28" applyNumberFormat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39" fillId="0" borderId="37" applyNumberFormat="0" applyFill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40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31" fillId="0" borderId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41" fillId="14" borderId="32" applyNumberFormat="0" applyFont="0" applyAlignment="0" applyProtection="0"/>
    <xf numFmtId="0" fontId="41" fillId="14" borderId="32" applyNumberFormat="0" applyFont="0" applyAlignment="0" applyProtection="0"/>
    <xf numFmtId="0" fontId="25" fillId="12" borderId="29" applyNumberFormat="0" applyAlignment="0" applyProtection="0"/>
    <xf numFmtId="0" fontId="25" fillId="12" borderId="29" applyNumberFormat="0" applyAlignment="0" applyProtection="0"/>
    <xf numFmtId="0" fontId="25" fillId="12" borderId="29" applyNumberFormat="0" applyAlignment="0" applyProtection="0"/>
    <xf numFmtId="0" fontId="25" fillId="12" borderId="29" applyNumberFormat="0" applyAlignment="0" applyProtection="0"/>
    <xf numFmtId="0" fontId="25" fillId="12" borderId="29" applyNumberFormat="0" applyAlignment="0" applyProtection="0"/>
    <xf numFmtId="0" fontId="25" fillId="12" borderId="29" applyNumberFormat="0" applyAlignment="0" applyProtection="0"/>
    <xf numFmtId="0" fontId="25" fillId="43" borderId="29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8" applyNumberFormat="0" applyFill="0" applyAlignment="0" applyProtection="0"/>
    <xf numFmtId="0" fontId="1" fillId="0" borderId="0"/>
    <xf numFmtId="0" fontId="1" fillId="0" borderId="0"/>
    <xf numFmtId="0" fontId="33" fillId="0" borderId="0" applyNumberFormat="0" applyFill="0" applyBorder="0" applyAlignment="0" applyProtection="0"/>
    <xf numFmtId="0" fontId="34" fillId="10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34" borderId="0" applyNumberFormat="0" applyBorder="0" applyAlignment="0" applyProtection="0"/>
    <xf numFmtId="0" fontId="30" fillId="38" borderId="0" applyNumberFormat="0" applyBorder="0" applyAlignment="0" applyProtection="0"/>
    <xf numFmtId="0" fontId="1" fillId="0" borderId="0"/>
    <xf numFmtId="0" fontId="1" fillId="14" borderId="32" applyNumberFormat="0" applyFont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32" fillId="0" borderId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1" fillId="0" borderId="27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34" fillId="10" borderId="0" applyNumberFormat="0" applyBorder="0" applyAlignment="0" applyProtection="0"/>
    <xf numFmtId="0" fontId="24" fillId="11" borderId="28" applyNumberFormat="0" applyAlignment="0" applyProtection="0"/>
    <xf numFmtId="0" fontId="25" fillId="12" borderId="29" applyNumberFormat="0" applyAlignment="0" applyProtection="0"/>
    <xf numFmtId="0" fontId="26" fillId="12" borderId="28" applyNumberFormat="0" applyAlignment="0" applyProtection="0"/>
    <xf numFmtId="0" fontId="27" fillId="0" borderId="30" applyNumberFormat="0" applyFill="0" applyAlignment="0" applyProtection="0"/>
    <xf numFmtId="0" fontId="2" fillId="13" borderId="31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33" applyNumberFormat="0" applyFill="0" applyAlignment="0" applyProtection="0"/>
    <xf numFmtId="0" fontId="3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0" fillId="38" borderId="0" applyNumberFormat="0" applyBorder="0" applyAlignment="0" applyProtection="0"/>
    <xf numFmtId="0" fontId="1" fillId="0" borderId="0"/>
    <xf numFmtId="0" fontId="1" fillId="14" borderId="32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165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32" fillId="0" borderId="0"/>
    <xf numFmtId="0" fontId="1" fillId="14" borderId="32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9" fontId="3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14" borderId="32" applyNumberFormat="0" applyFont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0" applyFont="1"/>
    <xf numFmtId="0" fontId="0" fillId="2" borderId="0" xfId="0" applyFill="1"/>
    <xf numFmtId="0" fontId="4" fillId="0" borderId="0" xfId="0" applyFont="1"/>
    <xf numFmtId="49" fontId="0" fillId="0" borderId="0" xfId="0" applyNumberFormat="1"/>
    <xf numFmtId="14" fontId="0" fillId="0" borderId="0" xfId="0" applyNumberFormat="1"/>
    <xf numFmtId="0" fontId="3" fillId="3" borderId="0" xfId="0" applyFont="1" applyFill="1"/>
    <xf numFmtId="0" fontId="0" fillId="3" borderId="0" xfId="0" applyFill="1"/>
    <xf numFmtId="14" fontId="0" fillId="3" borderId="0" xfId="0" applyNumberFormat="1" applyFill="1"/>
    <xf numFmtId="0" fontId="6" fillId="0" borderId="0" xfId="0" applyFont="1"/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1" xfId="1" applyFont="1" applyBorder="1" applyAlignment="1">
      <alignment horizontal="left" wrapText="1"/>
    </xf>
    <xf numFmtId="0" fontId="9" fillId="0" borderId="4" xfId="1" applyFont="1" applyBorder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0" fontId="8" fillId="0" borderId="6" xfId="1" applyFont="1" applyBorder="1"/>
    <xf numFmtId="0" fontId="8" fillId="0" borderId="5" xfId="1" applyFont="1" applyBorder="1"/>
    <xf numFmtId="0" fontId="8" fillId="0" borderId="8" xfId="1" applyFont="1" applyBorder="1"/>
    <xf numFmtId="0" fontId="8" fillId="0" borderId="7" xfId="1" applyFont="1" applyBorder="1"/>
    <xf numFmtId="3" fontId="8" fillId="0" borderId="5" xfId="1" applyNumberFormat="1" applyFont="1" applyBorder="1"/>
    <xf numFmtId="3" fontId="8" fillId="0" borderId="7" xfId="1" applyNumberFormat="1" applyFont="1" applyBorder="1"/>
    <xf numFmtId="0" fontId="8" fillId="0" borderId="10" xfId="1" applyFont="1" applyBorder="1"/>
    <xf numFmtId="3" fontId="8" fillId="0" borderId="9" xfId="1" applyNumberFormat="1" applyFont="1" applyBorder="1"/>
    <xf numFmtId="0" fontId="8" fillId="0" borderId="9" xfId="1" applyFont="1" applyBorder="1"/>
    <xf numFmtId="0" fontId="10" fillId="0" borderId="16" xfId="0" applyFont="1" applyBorder="1" applyProtection="1"/>
    <xf numFmtId="0" fontId="10" fillId="0" borderId="0" xfId="0" applyFont="1" applyBorder="1" applyProtection="1"/>
    <xf numFmtId="0" fontId="10" fillId="0" borderId="17" xfId="0" applyFont="1" applyBorder="1" applyProtection="1"/>
    <xf numFmtId="0" fontId="10" fillId="0" borderId="18" xfId="0" applyFont="1" applyBorder="1" applyProtection="1"/>
    <xf numFmtId="0" fontId="10" fillId="0" borderId="19" xfId="0" applyFont="1" applyBorder="1" applyProtection="1"/>
    <xf numFmtId="0" fontId="10" fillId="0" borderId="0" xfId="0" applyFont="1" applyProtection="1"/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Protection="1"/>
    <xf numFmtId="0" fontId="10" fillId="0" borderId="21" xfId="0" applyFont="1" applyBorder="1" applyProtection="1"/>
    <xf numFmtId="0" fontId="10" fillId="5" borderId="16" xfId="0" applyFont="1" applyFill="1" applyBorder="1" applyProtection="1"/>
    <xf numFmtId="0" fontId="10" fillId="5" borderId="0" xfId="0" applyFont="1" applyFill="1" applyBorder="1" applyProtection="1"/>
    <xf numFmtId="0" fontId="10" fillId="5" borderId="17" xfId="0" applyFont="1" applyFill="1" applyBorder="1" applyProtection="1"/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horizontal="right" vertical="center"/>
    </xf>
    <xf numFmtId="0" fontId="10" fillId="0" borderId="20" xfId="0" applyNumberFormat="1" applyFont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16" fillId="5" borderId="16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7" xfId="0" applyFont="1" applyFill="1" applyBorder="1" applyAlignment="1" applyProtection="1">
      <alignment horizontal="left"/>
    </xf>
    <xf numFmtId="0" fontId="10" fillId="0" borderId="16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10" fillId="0" borderId="17" xfId="0" applyFont="1" applyBorder="1" applyAlignment="1" applyProtection="1">
      <alignment horizontal="left"/>
    </xf>
    <xf numFmtId="0" fontId="10" fillId="6" borderId="22" xfId="0" applyFont="1" applyFill="1" applyBorder="1" applyProtection="1"/>
    <xf numFmtId="0" fontId="10" fillId="6" borderId="22" xfId="0" applyFont="1" applyFill="1" applyBorder="1" applyAlignment="1" applyProtection="1">
      <alignment horizontal="right" vertical="center"/>
    </xf>
    <xf numFmtId="0" fontId="10" fillId="6" borderId="22" xfId="0" applyFont="1" applyFill="1" applyBorder="1" applyAlignment="1" applyProtection="1">
      <alignment horizontal="right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Protection="1"/>
    <xf numFmtId="0" fontId="10" fillId="5" borderId="16" xfId="0" applyFont="1" applyFill="1" applyBorder="1" applyProtection="1"/>
    <xf numFmtId="0" fontId="10" fillId="5" borderId="0" xfId="0" applyFont="1" applyFill="1" applyBorder="1" applyProtection="1"/>
    <xf numFmtId="0" fontId="10" fillId="5" borderId="17" xfId="0" applyFont="1" applyFill="1" applyBorder="1" applyProtection="1"/>
    <xf numFmtId="0" fontId="10" fillId="0" borderId="11" xfId="0" applyFont="1" applyBorder="1" applyProtection="1"/>
    <xf numFmtId="0" fontId="10" fillId="0" borderId="21" xfId="0" applyFont="1" applyBorder="1" applyAlignment="1" applyProtection="1">
      <alignment horizontal="right" vertical="center"/>
    </xf>
    <xf numFmtId="0" fontId="0" fillId="0" borderId="11" xfId="0" applyBorder="1"/>
    <xf numFmtId="0" fontId="0" fillId="0" borderId="23" xfId="0" applyBorder="1"/>
    <xf numFmtId="0" fontId="0" fillId="0" borderId="24" xfId="0" applyBorder="1"/>
    <xf numFmtId="0" fontId="0" fillId="0" borderId="12" xfId="0" applyBorder="1"/>
    <xf numFmtId="0" fontId="10" fillId="0" borderId="24" xfId="0" applyFont="1" applyBorder="1" applyProtection="1"/>
    <xf numFmtId="0" fontId="10" fillId="7" borderId="16" xfId="0" applyFont="1" applyFill="1" applyBorder="1" applyProtection="1"/>
    <xf numFmtId="0" fontId="10" fillId="0" borderId="19" xfId="0" applyFont="1" applyFill="1" applyBorder="1" applyAlignment="1" applyProtection="1">
      <alignment vertical="center"/>
    </xf>
    <xf numFmtId="0" fontId="10" fillId="0" borderId="20" xfId="0" applyFont="1" applyFill="1" applyBorder="1" applyAlignment="1" applyProtection="1">
      <alignment vertical="center"/>
    </xf>
    <xf numFmtId="0" fontId="10" fillId="0" borderId="20" xfId="0" applyFont="1" applyFill="1" applyBorder="1" applyProtection="1"/>
    <xf numFmtId="2" fontId="10" fillId="0" borderId="0" xfId="0" applyNumberFormat="1" applyFont="1" applyBorder="1" applyProtection="1"/>
    <xf numFmtId="2" fontId="10" fillId="0" borderId="17" xfId="0" applyNumberFormat="1" applyFont="1" applyBorder="1"/>
    <xf numFmtId="166" fontId="0" fillId="0" borderId="0" xfId="0" applyNumberFormat="1"/>
    <xf numFmtId="0" fontId="10" fillId="0" borderId="16" xfId="0" applyFont="1" applyBorder="1"/>
    <xf numFmtId="0" fontId="30" fillId="56" borderId="16" xfId="0" applyFont="1" applyFill="1" applyBorder="1" applyAlignment="1" applyProtection="1">
      <alignment horizontal="center"/>
    </xf>
    <xf numFmtId="0" fontId="30" fillId="56" borderId="17" xfId="0" applyFont="1" applyFill="1" applyBorder="1" applyAlignment="1" applyProtection="1">
      <alignment horizontal="center"/>
    </xf>
    <xf numFmtId="0" fontId="43" fillId="56" borderId="16" xfId="0" applyFont="1" applyFill="1" applyBorder="1" applyAlignment="1" applyProtection="1">
      <alignment horizontal="center"/>
    </xf>
    <xf numFmtId="0" fontId="43" fillId="56" borderId="17" xfId="0" applyFont="1" applyFill="1" applyBorder="1" applyAlignment="1" applyProtection="1">
      <alignment horizontal="center"/>
    </xf>
    <xf numFmtId="0" fontId="44" fillId="56" borderId="16" xfId="0" applyFont="1" applyFill="1" applyBorder="1" applyAlignment="1" applyProtection="1">
      <alignment horizontal="center"/>
    </xf>
    <xf numFmtId="0" fontId="44" fillId="56" borderId="0" xfId="0" applyFont="1" applyFill="1" applyBorder="1" applyAlignment="1" applyProtection="1">
      <alignment horizontal="center"/>
    </xf>
    <xf numFmtId="0" fontId="44" fillId="56" borderId="17" xfId="0" applyFont="1" applyFill="1" applyBorder="1" applyAlignment="1" applyProtection="1">
      <alignment horizontal="center"/>
    </xf>
    <xf numFmtId="168" fontId="0" fillId="0" borderId="0" xfId="43" applyNumberFormat="1" applyFont="1"/>
    <xf numFmtId="0" fontId="0" fillId="59" borderId="0" xfId="0" applyFill="1"/>
    <xf numFmtId="0" fontId="3" fillId="59" borderId="0" xfId="0" applyFont="1" applyFill="1"/>
    <xf numFmtId="164" fontId="5" fillId="0" borderId="39" xfId="0" applyNumberFormat="1" applyFont="1" applyBorder="1"/>
    <xf numFmtId="164" fontId="5" fillId="0" borderId="40" xfId="0" applyNumberFormat="1" applyFont="1" applyBorder="1"/>
    <xf numFmtId="164" fontId="5" fillId="0" borderId="41" xfId="0" applyNumberFormat="1" applyFont="1" applyBorder="1"/>
    <xf numFmtId="0" fontId="15" fillId="58" borderId="16" xfId="0" applyFont="1" applyFill="1" applyBorder="1" applyAlignment="1" applyProtection="1">
      <alignment horizontal="center" wrapText="1"/>
    </xf>
    <xf numFmtId="0" fontId="15" fillId="58" borderId="17" xfId="0" applyFont="1" applyFill="1" applyBorder="1" applyAlignment="1" applyProtection="1">
      <alignment horizontal="center" wrapText="1"/>
    </xf>
    <xf numFmtId="0" fontId="15" fillId="58" borderId="0" xfId="0" applyFont="1" applyFill="1" applyBorder="1" applyAlignment="1" applyProtection="1">
      <alignment horizontal="center" wrapText="1"/>
    </xf>
    <xf numFmtId="0" fontId="15" fillId="58" borderId="18" xfId="0" applyFont="1" applyFill="1" applyBorder="1" applyAlignment="1" applyProtection="1">
      <alignment horizontal="center" wrapText="1"/>
    </xf>
    <xf numFmtId="0" fontId="45" fillId="0" borderId="0" xfId="0" applyFont="1"/>
    <xf numFmtId="0" fontId="0" fillId="0" borderId="0" xfId="0" applyAlignment="1">
      <alignment horizontal="center"/>
    </xf>
    <xf numFmtId="169" fontId="0" fillId="0" borderId="0" xfId="0" applyNumberFormat="1"/>
    <xf numFmtId="0" fontId="45" fillId="64" borderId="0" xfId="0" applyFont="1" applyFill="1"/>
    <xf numFmtId="0" fontId="45" fillId="64" borderId="0" xfId="0" applyFont="1" applyFill="1" applyAlignment="1">
      <alignment horizontal="center"/>
    </xf>
    <xf numFmtId="4" fontId="0" fillId="0" borderId="0" xfId="0" applyNumberFormat="1"/>
    <xf numFmtId="0" fontId="10" fillId="0" borderId="46" xfId="0" applyFont="1" applyBorder="1" applyProtection="1"/>
    <xf numFmtId="0" fontId="30" fillId="56" borderId="54" xfId="0" applyFont="1" applyFill="1" applyBorder="1" applyAlignment="1" applyProtection="1"/>
    <xf numFmtId="0" fontId="43" fillId="56" borderId="55" xfId="0" applyFont="1" applyFill="1" applyBorder="1" applyAlignment="1" applyProtection="1"/>
    <xf numFmtId="0" fontId="43" fillId="56" borderId="54" xfId="0" applyFont="1" applyFill="1" applyBorder="1" applyAlignment="1" applyProtection="1"/>
    <xf numFmtId="0" fontId="30" fillId="56" borderId="55" xfId="0" applyFont="1" applyFill="1" applyBorder="1" applyAlignment="1" applyProtection="1"/>
    <xf numFmtId="0" fontId="44" fillId="56" borderId="55" xfId="0" applyFont="1" applyFill="1" applyBorder="1" applyAlignment="1" applyProtection="1"/>
    <xf numFmtId="0" fontId="44" fillId="56" borderId="52" xfId="0" applyFont="1" applyFill="1" applyBorder="1" applyAlignment="1" applyProtection="1"/>
    <xf numFmtId="0" fontId="44" fillId="56" borderId="54" xfId="0" applyFont="1" applyFill="1" applyBorder="1" applyAlignment="1" applyProtection="1"/>
    <xf numFmtId="0" fontId="30" fillId="56" borderId="56" xfId="0" applyFont="1" applyFill="1" applyBorder="1" applyAlignment="1" applyProtection="1"/>
    <xf numFmtId="0" fontId="10" fillId="0" borderId="47" xfId="0" applyFont="1" applyBorder="1" applyProtection="1"/>
    <xf numFmtId="0" fontId="30" fillId="56" borderId="48" xfId="0" applyFont="1" applyFill="1" applyBorder="1" applyAlignment="1" applyProtection="1">
      <alignment horizontal="center"/>
    </xf>
    <xf numFmtId="0" fontId="15" fillId="58" borderId="48" xfId="0" applyFont="1" applyFill="1" applyBorder="1" applyAlignment="1" applyProtection="1">
      <alignment horizontal="center" wrapText="1"/>
    </xf>
    <xf numFmtId="0" fontId="10" fillId="0" borderId="0" xfId="0" applyFont="1" applyBorder="1"/>
    <xf numFmtId="2" fontId="10" fillId="0" borderId="0" xfId="0" applyNumberFormat="1" applyFont="1" applyBorder="1"/>
    <xf numFmtId="0" fontId="10" fillId="0" borderId="48" xfId="0" applyFont="1" applyBorder="1" applyProtection="1"/>
    <xf numFmtId="0" fontId="10" fillId="0" borderId="49" xfId="0" applyFont="1" applyBorder="1" applyProtection="1"/>
    <xf numFmtId="0" fontId="10" fillId="0" borderId="50" xfId="0" applyFont="1" applyBorder="1" applyProtection="1"/>
    <xf numFmtId="0" fontId="10" fillId="0" borderId="57" xfId="0" applyFont="1" applyBorder="1" applyProtection="1"/>
    <xf numFmtId="0" fontId="10" fillId="0" borderId="58" xfId="0" applyFont="1" applyBorder="1" applyProtection="1"/>
    <xf numFmtId="0" fontId="10" fillId="0" borderId="59" xfId="0" applyFont="1" applyBorder="1" applyProtection="1"/>
    <xf numFmtId="0" fontId="10" fillId="0" borderId="60" xfId="0" applyFont="1" applyBorder="1" applyProtection="1"/>
    <xf numFmtId="2" fontId="10" fillId="0" borderId="50" xfId="0" applyNumberFormat="1" applyFont="1" applyBorder="1" applyProtection="1"/>
    <xf numFmtId="0" fontId="10" fillId="0" borderId="50" xfId="0" applyFont="1" applyBorder="1"/>
    <xf numFmtId="2" fontId="10" fillId="0" borderId="58" xfId="0" applyNumberFormat="1" applyFont="1" applyBorder="1"/>
    <xf numFmtId="0" fontId="10" fillId="0" borderId="51" xfId="0" applyFont="1" applyBorder="1" applyProtection="1"/>
    <xf numFmtId="0" fontId="15" fillId="56" borderId="53" xfId="0" applyFont="1" applyFill="1" applyBorder="1" applyAlignment="1" applyProtection="1">
      <alignment vertical="center" wrapText="1"/>
    </xf>
    <xf numFmtId="0" fontId="50" fillId="5" borderId="47" xfId="0" applyFont="1" applyFill="1" applyBorder="1" applyProtection="1"/>
    <xf numFmtId="0" fontId="50" fillId="5" borderId="0" xfId="0" applyFont="1" applyFill="1" applyBorder="1" applyProtection="1"/>
    <xf numFmtId="0" fontId="50" fillId="5" borderId="46" xfId="0" applyFont="1" applyFill="1" applyBorder="1" applyProtection="1"/>
    <xf numFmtId="0" fontId="15" fillId="56" borderId="16" xfId="0" applyFont="1" applyFill="1" applyBorder="1"/>
    <xf numFmtId="0" fontId="15" fillId="56" borderId="0" xfId="0" applyFont="1" applyFill="1"/>
    <xf numFmtId="0" fontId="15" fillId="56" borderId="17" xfId="0" applyFont="1" applyFill="1" applyBorder="1"/>
    <xf numFmtId="0" fontId="10" fillId="0" borderId="11" xfId="0" applyFont="1" applyBorder="1"/>
    <xf numFmtId="0" fontId="47" fillId="58" borderId="0" xfId="0" applyFont="1" applyFill="1" applyBorder="1" applyAlignment="1">
      <alignment horizontal="center"/>
    </xf>
    <xf numFmtId="0" fontId="15" fillId="56" borderId="0" xfId="0" applyFont="1" applyFill="1" applyBorder="1"/>
    <xf numFmtId="0" fontId="0" fillId="0" borderId="0" xfId="0" applyBorder="1"/>
    <xf numFmtId="0" fontId="46" fillId="58" borderId="17" xfId="0" applyFont="1" applyFill="1" applyBorder="1" applyAlignment="1" applyProtection="1">
      <alignment horizontal="center"/>
    </xf>
    <xf numFmtId="0" fontId="46" fillId="58" borderId="16" xfId="0" applyFont="1" applyFill="1" applyBorder="1" applyAlignment="1" applyProtection="1">
      <alignment horizontal="center" wrapText="1"/>
    </xf>
    <xf numFmtId="0" fontId="14" fillId="0" borderId="16" xfId="0" applyFont="1" applyBorder="1" applyProtection="1"/>
    <xf numFmtId="0" fontId="0" fillId="0" borderId="0" xfId="0" applyFill="1"/>
    <xf numFmtId="0" fontId="0" fillId="0" borderId="0" xfId="0" applyFill="1" applyAlignment="1">
      <alignment horizontal="center"/>
    </xf>
    <xf numFmtId="0" fontId="56" fillId="0" borderId="0" xfId="0" applyFont="1"/>
    <xf numFmtId="0" fontId="10" fillId="7" borderId="0" xfId="0" applyFont="1" applyFill="1" applyBorder="1" applyProtection="1"/>
    <xf numFmtId="0" fontId="0" fillId="0" borderId="64" xfId="0" applyBorder="1"/>
    <xf numFmtId="0" fontId="0" fillId="69" borderId="0" xfId="0" applyFill="1"/>
    <xf numFmtId="0" fontId="15" fillId="58" borderId="48" xfId="0" applyFont="1" applyFill="1" applyBorder="1" applyAlignment="1" applyProtection="1">
      <alignment horizontal="center"/>
    </xf>
    <xf numFmtId="166" fontId="0" fillId="0" borderId="11" xfId="0" applyNumberFormat="1" applyBorder="1"/>
    <xf numFmtId="0" fontId="0" fillId="0" borderId="0" xfId="0" applyNumberFormat="1"/>
    <xf numFmtId="0" fontId="0" fillId="0" borderId="11" xfId="0" applyBorder="1" applyAlignment="1">
      <alignment horizontal="right"/>
    </xf>
    <xf numFmtId="0" fontId="0" fillId="69" borderId="0" xfId="0" applyFill="1" applyAlignment="1">
      <alignment horizontal="center"/>
    </xf>
    <xf numFmtId="169" fontId="0" fillId="69" borderId="0" xfId="0" applyNumberFormat="1" applyFill="1"/>
    <xf numFmtId="0" fontId="0" fillId="61" borderId="0" xfId="0" applyFill="1"/>
    <xf numFmtId="0" fontId="0" fillId="61" borderId="0" xfId="0" applyFill="1" applyAlignment="1">
      <alignment horizontal="center"/>
    </xf>
    <xf numFmtId="169" fontId="0" fillId="61" borderId="0" xfId="0" applyNumberFormat="1" applyFill="1"/>
    <xf numFmtId="169" fontId="0" fillId="0" borderId="0" xfId="0" applyNumberFormat="1" applyFill="1"/>
    <xf numFmtId="0" fontId="0" fillId="0" borderId="0" xfId="0" applyFont="1"/>
    <xf numFmtId="166" fontId="0" fillId="0" borderId="0" xfId="0" applyNumberFormat="1" applyAlignment="1">
      <alignment horizontal="center"/>
    </xf>
    <xf numFmtId="0" fontId="0" fillId="70" borderId="0" xfId="0" applyFill="1"/>
    <xf numFmtId="0" fontId="3" fillId="0" borderId="0" xfId="0" applyFont="1" applyAlignment="1">
      <alignment horizontal="center"/>
    </xf>
    <xf numFmtId="0" fontId="3" fillId="71" borderId="42" xfId="0" applyFont="1" applyFill="1" applyBorder="1"/>
    <xf numFmtId="166" fontId="3" fillId="71" borderId="22" xfId="0" applyNumberFormat="1" applyFont="1" applyFill="1" applyBorder="1"/>
    <xf numFmtId="0" fontId="0" fillId="66" borderId="42" xfId="0" applyFill="1" applyBorder="1"/>
    <xf numFmtId="166" fontId="0" fillId="66" borderId="22" xfId="0" applyNumberFormat="1" applyFill="1" applyBorder="1"/>
    <xf numFmtId="0" fontId="0" fillId="69" borderId="13" xfId="0" applyFill="1" applyBorder="1"/>
    <xf numFmtId="0" fontId="0" fillId="69" borderId="16" xfId="0" applyFill="1" applyBorder="1"/>
    <xf numFmtId="0" fontId="0" fillId="69" borderId="17" xfId="0" applyFill="1" applyBorder="1"/>
    <xf numFmtId="0" fontId="0" fillId="69" borderId="17" xfId="0" applyFill="1" applyBorder="1" applyAlignment="1">
      <alignment horizontal="right"/>
    </xf>
    <xf numFmtId="0" fontId="0" fillId="69" borderId="19" xfId="0" applyFill="1" applyBorder="1"/>
    <xf numFmtId="0" fontId="0" fillId="69" borderId="21" xfId="0" applyFill="1" applyBorder="1"/>
    <xf numFmtId="0" fontId="10" fillId="6" borderId="22" xfId="0" applyNumberFormat="1" applyFont="1" applyFill="1" applyBorder="1" applyAlignment="1" applyProtection="1">
      <alignment horizontal="right"/>
    </xf>
    <xf numFmtId="0" fontId="0" fillId="63" borderId="0" xfId="0" applyFill="1" applyProtection="1">
      <protection hidden="1"/>
    </xf>
    <xf numFmtId="0" fontId="0" fillId="0" borderId="0" xfId="0" applyProtection="1">
      <protection hidden="1"/>
    </xf>
    <xf numFmtId="0" fontId="48" fillId="63" borderId="0" xfId="0" applyFont="1" applyFill="1" applyProtection="1">
      <protection hidden="1"/>
    </xf>
    <xf numFmtId="0" fontId="11" fillId="63" borderId="0" xfId="0" applyFont="1" applyFill="1" applyProtection="1">
      <protection hidden="1"/>
    </xf>
    <xf numFmtId="0" fontId="0" fillId="65" borderId="6" xfId="0" applyFill="1" applyBorder="1" applyProtection="1">
      <protection hidden="1"/>
    </xf>
    <xf numFmtId="0" fontId="48" fillId="65" borderId="61" xfId="0" applyFont="1" applyFill="1" applyBorder="1" applyProtection="1">
      <protection hidden="1"/>
    </xf>
    <xf numFmtId="0" fontId="11" fillId="65" borderId="61" xfId="0" applyFont="1" applyFill="1" applyBorder="1" applyProtection="1">
      <protection hidden="1"/>
    </xf>
    <xf numFmtId="0" fontId="0" fillId="65" borderId="61" xfId="0" applyFill="1" applyBorder="1" applyProtection="1">
      <protection hidden="1"/>
    </xf>
    <xf numFmtId="0" fontId="0" fillId="65" borderId="39" xfId="0" applyFill="1" applyBorder="1" applyProtection="1">
      <protection hidden="1"/>
    </xf>
    <xf numFmtId="0" fontId="0" fillId="65" borderId="8" xfId="0" applyFill="1" applyBorder="1" applyProtection="1">
      <protection hidden="1"/>
    </xf>
    <xf numFmtId="0" fontId="0" fillId="65" borderId="40" xfId="0" applyFill="1" applyBorder="1" applyProtection="1">
      <protection hidden="1"/>
    </xf>
    <xf numFmtId="0" fontId="0" fillId="65" borderId="0" xfId="0" applyFill="1" applyBorder="1" applyProtection="1">
      <protection hidden="1"/>
    </xf>
    <xf numFmtId="0" fontId="0" fillId="65" borderId="10" xfId="0" applyFill="1" applyBorder="1" applyProtection="1">
      <protection hidden="1"/>
    </xf>
    <xf numFmtId="0" fontId="0" fillId="65" borderId="45" xfId="0" applyFill="1" applyBorder="1" applyProtection="1">
      <protection hidden="1"/>
    </xf>
    <xf numFmtId="0" fontId="0" fillId="65" borderId="63" xfId="0" applyFill="1" applyBorder="1" applyProtection="1">
      <protection hidden="1"/>
    </xf>
    <xf numFmtId="0" fontId="0" fillId="65" borderId="41" xfId="0" applyFill="1" applyBorder="1" applyProtection="1">
      <protection hidden="1"/>
    </xf>
    <xf numFmtId="0" fontId="0" fillId="65" borderId="0" xfId="0" applyFill="1" applyProtection="1">
      <protection hidden="1"/>
    </xf>
    <xf numFmtId="0" fontId="0" fillId="65" borderId="62" xfId="0" applyFill="1" applyBorder="1" applyProtection="1">
      <protection hidden="1"/>
    </xf>
    <xf numFmtId="0" fontId="0" fillId="67" borderId="0" xfId="0" applyFill="1" applyProtection="1">
      <protection hidden="1"/>
    </xf>
    <xf numFmtId="0" fontId="16" fillId="5" borderId="13" xfId="0" applyFont="1" applyFill="1" applyBorder="1" applyAlignment="1" applyProtection="1">
      <alignment horizontal="center"/>
    </xf>
    <xf numFmtId="0" fontId="16" fillId="5" borderId="14" xfId="0" applyFont="1" applyFill="1" applyBorder="1" applyAlignment="1" applyProtection="1">
      <alignment horizontal="center"/>
    </xf>
    <xf numFmtId="0" fontId="16" fillId="5" borderId="15" xfId="0" applyFont="1" applyFill="1" applyBorder="1" applyAlignment="1" applyProtection="1">
      <alignment horizontal="center"/>
    </xf>
    <xf numFmtId="0" fontId="16" fillId="5" borderId="65" xfId="0" applyFont="1" applyFill="1" applyBorder="1" applyAlignment="1" applyProtection="1">
      <alignment horizontal="center"/>
    </xf>
    <xf numFmtId="0" fontId="17" fillId="0" borderId="18" xfId="0" applyFont="1" applyFill="1" applyBorder="1" applyProtection="1"/>
    <xf numFmtId="0" fontId="18" fillId="0" borderId="18" xfId="0" applyFont="1" applyBorder="1" applyAlignment="1" applyProtection="1">
      <alignment horizontal="left"/>
    </xf>
    <xf numFmtId="0" fontId="17" fillId="0" borderId="18" xfId="0" applyFont="1" applyBorder="1" applyProtection="1"/>
    <xf numFmtId="0" fontId="18" fillId="0" borderId="66" xfId="0" applyFont="1" applyBorder="1" applyAlignment="1" applyProtection="1">
      <alignment horizontal="left"/>
    </xf>
    <xf numFmtId="0" fontId="0" fillId="0" borderId="18" xfId="0" applyBorder="1"/>
    <xf numFmtId="0" fontId="0" fillId="0" borderId="66" xfId="0" applyBorder="1"/>
    <xf numFmtId="0" fontId="0" fillId="0" borderId="22" xfId="0" applyBorder="1"/>
    <xf numFmtId="0" fontId="0" fillId="65" borderId="65" xfId="0" applyFill="1" applyBorder="1"/>
    <xf numFmtId="0" fontId="13" fillId="65" borderId="0" xfId="0" applyFont="1" applyFill="1" applyBorder="1" applyAlignment="1" applyProtection="1">
      <alignment horizontal="center" vertical="center" wrapText="1"/>
      <protection hidden="1"/>
    </xf>
    <xf numFmtId="0" fontId="64" fillId="0" borderId="0" xfId="0" applyFont="1"/>
    <xf numFmtId="0" fontId="65" fillId="0" borderId="0" xfId="0" applyFont="1"/>
    <xf numFmtId="166" fontId="65" fillId="0" borderId="0" xfId="0" applyNumberFormat="1" applyFont="1"/>
    <xf numFmtId="0" fontId="66" fillId="0" borderId="0" xfId="0" applyFont="1"/>
    <xf numFmtId="0" fontId="0" fillId="0" borderId="22" xfId="0" applyBorder="1" applyAlignment="1">
      <alignment horizontal="center"/>
    </xf>
    <xf numFmtId="166" fontId="0" fillId="0" borderId="22" xfId="0" applyNumberFormat="1" applyBorder="1"/>
    <xf numFmtId="166" fontId="0" fillId="0" borderId="22" xfId="0" applyNumberFormat="1" applyBorder="1" applyAlignment="1">
      <alignment horizontal="center"/>
    </xf>
    <xf numFmtId="0" fontId="3" fillId="73" borderId="22" xfId="0" applyFont="1" applyFill="1" applyBorder="1"/>
    <xf numFmtId="0" fontId="3" fillId="0" borderId="11" xfId="0" applyFont="1" applyBorder="1"/>
    <xf numFmtId="0" fontId="14" fillId="0" borderId="0" xfId="0" applyFont="1" applyBorder="1" applyProtection="1"/>
    <xf numFmtId="0" fontId="66" fillId="0" borderId="42" xfId="0" applyFont="1" applyBorder="1" applyAlignment="1"/>
    <xf numFmtId="0" fontId="66" fillId="0" borderId="43" xfId="0" applyFont="1" applyBorder="1" applyAlignment="1"/>
    <xf numFmtId="0" fontId="66" fillId="0" borderId="44" xfId="0" applyFont="1" applyBorder="1" applyAlignment="1"/>
    <xf numFmtId="0" fontId="66" fillId="0" borderId="0" xfId="0" applyFont="1" applyBorder="1" applyAlignment="1"/>
    <xf numFmtId="0" fontId="3" fillId="57" borderId="0" xfId="0" applyFont="1" applyFill="1" applyBorder="1"/>
    <xf numFmtId="0" fontId="0" fillId="57" borderId="66" xfId="0" applyFill="1" applyBorder="1"/>
    <xf numFmtId="0" fontId="14" fillId="0" borderId="46" xfId="0" applyFont="1" applyBorder="1" applyProtection="1"/>
    <xf numFmtId="167" fontId="67" fillId="75" borderId="4" xfId="0" applyNumberFormat="1" applyFont="1" applyFill="1" applyBorder="1" applyAlignment="1" applyProtection="1">
      <alignment horizontal="center" vertical="center"/>
      <protection hidden="1"/>
    </xf>
    <xf numFmtId="167" fontId="49" fillId="74" borderId="4" xfId="0" applyNumberFormat="1" applyFont="1" applyFill="1" applyBorder="1" applyAlignment="1" applyProtection="1">
      <alignment horizontal="center" vertical="center"/>
      <protection hidden="1"/>
    </xf>
    <xf numFmtId="167" fontId="62" fillId="65" borderId="0" xfId="0" applyNumberFormat="1" applyFont="1" applyFill="1" applyBorder="1" applyAlignment="1" applyProtection="1">
      <alignment vertical="center"/>
      <protection hidden="1"/>
    </xf>
    <xf numFmtId="167" fontId="68" fillId="65" borderId="0" xfId="0" applyNumberFormat="1" applyFont="1" applyFill="1" applyBorder="1" applyAlignment="1" applyProtection="1">
      <alignment horizontal="center" vertical="center"/>
      <protection hidden="1"/>
    </xf>
    <xf numFmtId="2" fontId="0" fillId="66" borderId="22" xfId="0" applyNumberFormat="1" applyFill="1" applyBorder="1" applyAlignment="1">
      <alignment horizontal="center"/>
    </xf>
    <xf numFmtId="0" fontId="28" fillId="57" borderId="0" xfId="0" applyFont="1" applyFill="1"/>
    <xf numFmtId="2" fontId="0" fillId="77" borderId="22" xfId="0" applyNumberFormat="1" applyFill="1" applyBorder="1" applyAlignment="1">
      <alignment horizontal="center"/>
    </xf>
    <xf numFmtId="0" fontId="0" fillId="77" borderId="22" xfId="0" applyFill="1" applyBorder="1" applyAlignment="1">
      <alignment horizontal="center"/>
    </xf>
    <xf numFmtId="166" fontId="0" fillId="76" borderId="22" xfId="0" applyNumberFormat="1" applyFill="1" applyBorder="1" applyAlignment="1">
      <alignment horizontal="center"/>
    </xf>
    <xf numFmtId="0" fontId="0" fillId="76" borderId="22" xfId="0" applyFill="1" applyBorder="1" applyAlignment="1">
      <alignment horizontal="center"/>
    </xf>
    <xf numFmtId="0" fontId="12" fillId="65" borderId="0" xfId="0" applyFont="1" applyFill="1" applyBorder="1" applyAlignment="1" applyProtection="1">
      <alignment horizontal="center" vertical="center"/>
      <protection hidden="1"/>
    </xf>
    <xf numFmtId="2" fontId="0" fillId="69" borderId="15" xfId="0" applyNumberFormat="1" applyFill="1" applyBorder="1" applyAlignment="1">
      <alignment horizontal="right"/>
    </xf>
    <xf numFmtId="0" fontId="0" fillId="0" borderId="43" xfId="0" applyBorder="1"/>
    <xf numFmtId="0" fontId="0" fillId="0" borderId="44" xfId="0" applyBorder="1"/>
    <xf numFmtId="0" fontId="16" fillId="5" borderId="0" xfId="0" applyFont="1" applyFill="1" applyBorder="1" applyAlignment="1" applyProtection="1"/>
    <xf numFmtId="0" fontId="0" fillId="0" borderId="15" xfId="0" applyBorder="1"/>
    <xf numFmtId="0" fontId="66" fillId="0" borderId="13" xfId="0" applyFont="1" applyBorder="1"/>
    <xf numFmtId="0" fontId="0" fillId="0" borderId="14" xfId="0" applyBorder="1"/>
    <xf numFmtId="0" fontId="66" fillId="0" borderId="19" xfId="0" applyFont="1" applyBorder="1" applyAlignment="1"/>
    <xf numFmtId="0" fontId="66" fillId="0" borderId="20" xfId="0" applyFont="1" applyBorder="1" applyAlignment="1"/>
    <xf numFmtId="0" fontId="66" fillId="0" borderId="21" xfId="0" applyFont="1" applyBorder="1" applyAlignment="1"/>
    <xf numFmtId="0" fontId="69" fillId="78" borderId="0" xfId="0" applyFont="1" applyFill="1"/>
    <xf numFmtId="0" fontId="70" fillId="0" borderId="0" xfId="0" applyFont="1"/>
    <xf numFmtId="0" fontId="71" fillId="0" borderId="0" xfId="0" applyFont="1" applyAlignment="1">
      <alignment horizontal="right"/>
    </xf>
    <xf numFmtId="166" fontId="71" fillId="0" borderId="0" xfId="0" applyNumberFormat="1" applyFont="1" applyAlignment="1">
      <alignment horizontal="right"/>
    </xf>
    <xf numFmtId="0" fontId="71" fillId="0" borderId="16" xfId="0" applyFont="1" applyBorder="1" applyAlignment="1">
      <alignment horizontal="right"/>
    </xf>
    <xf numFmtId="166" fontId="71" fillId="0" borderId="17" xfId="0" applyNumberFormat="1" applyFont="1" applyBorder="1" applyAlignment="1">
      <alignment horizontal="right"/>
    </xf>
    <xf numFmtId="0" fontId="70" fillId="0" borderId="16" xfId="0" applyFont="1" applyBorder="1"/>
    <xf numFmtId="0" fontId="70" fillId="0" borderId="0" xfId="0" applyFont="1" applyAlignment="1">
      <alignment horizontal="center"/>
    </xf>
    <xf numFmtId="0" fontId="70" fillId="0" borderId="17" xfId="0" applyFont="1" applyBorder="1" applyAlignment="1">
      <alignment horizontal="center"/>
    </xf>
    <xf numFmtId="0" fontId="70" fillId="0" borderId="16" xfId="0" applyFont="1" applyBorder="1" applyAlignment="1">
      <alignment horizontal="right"/>
    </xf>
    <xf numFmtId="1" fontId="70" fillId="0" borderId="0" xfId="818" applyNumberFormat="1" applyFont="1" applyFill="1" applyBorder="1" applyAlignment="1">
      <alignment horizontal="right"/>
    </xf>
    <xf numFmtId="166" fontId="70" fillId="0" borderId="0" xfId="818" applyNumberFormat="1" applyFont="1" applyFill="1" applyBorder="1" applyAlignment="1">
      <alignment horizontal="right"/>
    </xf>
    <xf numFmtId="166" fontId="70" fillId="0" borderId="17" xfId="818" applyNumberFormat="1" applyFont="1" applyFill="1" applyBorder="1" applyAlignment="1">
      <alignment horizontal="right"/>
    </xf>
    <xf numFmtId="0" fontId="70" fillId="0" borderId="17" xfId="0" applyFont="1" applyBorder="1"/>
    <xf numFmtId="0" fontId="70" fillId="0" borderId="19" xfId="0" applyFont="1" applyBorder="1"/>
    <xf numFmtId="1" fontId="70" fillId="0" borderId="20" xfId="818" applyNumberFormat="1" applyFont="1" applyFill="1" applyBorder="1" applyAlignment="1">
      <alignment horizontal="right"/>
    </xf>
    <xf numFmtId="166" fontId="70" fillId="0" borderId="20" xfId="818" applyNumberFormat="1" applyFont="1" applyFill="1" applyBorder="1" applyAlignment="1">
      <alignment horizontal="right"/>
    </xf>
    <xf numFmtId="166" fontId="70" fillId="0" borderId="21" xfId="0" applyNumberFormat="1" applyFont="1" applyBorder="1"/>
    <xf numFmtId="0" fontId="70" fillId="0" borderId="20" xfId="0" applyFont="1" applyBorder="1"/>
    <xf numFmtId="0" fontId="70" fillId="0" borderId="21" xfId="0" applyFont="1" applyBorder="1"/>
    <xf numFmtId="166" fontId="70" fillId="0" borderId="0" xfId="0" applyNumberFormat="1" applyFont="1"/>
    <xf numFmtId="0" fontId="70" fillId="79" borderId="13" xfId="0" applyFont="1" applyFill="1" applyBorder="1" applyAlignment="1">
      <alignment horizontal="left"/>
    </xf>
    <xf numFmtId="0" fontId="70" fillId="79" borderId="14" xfId="0" applyFont="1" applyFill="1" applyBorder="1" applyAlignment="1">
      <alignment horizontal="left"/>
    </xf>
    <xf numFmtId="0" fontId="70" fillId="79" borderId="15" xfId="0" applyFont="1" applyFill="1" applyBorder="1" applyAlignment="1">
      <alignment horizontal="left"/>
    </xf>
    <xf numFmtId="1" fontId="70" fillId="0" borderId="0" xfId="819" applyNumberFormat="1" applyFont="1" applyFill="1" applyBorder="1" applyAlignment="1">
      <alignment horizontal="right"/>
    </xf>
    <xf numFmtId="1" fontId="70" fillId="0" borderId="20" xfId="819" applyNumberFormat="1" applyFont="1" applyFill="1" applyBorder="1" applyAlignment="1">
      <alignment horizontal="right"/>
    </xf>
    <xf numFmtId="0" fontId="71" fillId="0" borderId="0" xfId="0" applyFont="1" applyAlignment="1">
      <alignment horizontal="right" wrapText="1"/>
    </xf>
    <xf numFmtId="166" fontId="70" fillId="0" borderId="21" xfId="818" applyNumberFormat="1" applyFont="1" applyFill="1" applyBorder="1" applyAlignment="1">
      <alignment horizontal="right"/>
    </xf>
    <xf numFmtId="2" fontId="70" fillId="0" borderId="0" xfId="0" applyNumberFormat="1" applyFont="1"/>
    <xf numFmtId="166" fontId="0" fillId="66" borderId="22" xfId="0" applyNumberFormat="1" applyFill="1" applyBorder="1" applyAlignment="1">
      <alignment horizontal="center"/>
    </xf>
    <xf numFmtId="172" fontId="0" fillId="0" borderId="22" xfId="0" applyNumberFormat="1" applyBorder="1" applyAlignment="1">
      <alignment horizontal="center"/>
    </xf>
    <xf numFmtId="166" fontId="10" fillId="0" borderId="22" xfId="0" applyNumberFormat="1" applyFont="1" applyBorder="1" applyAlignment="1" applyProtection="1">
      <alignment horizontal="center"/>
    </xf>
    <xf numFmtId="167" fontId="74" fillId="65" borderId="0" xfId="0" applyNumberFormat="1" applyFont="1" applyFill="1" applyBorder="1" applyAlignment="1" applyProtection="1">
      <alignment horizontal="center" vertical="center"/>
      <protection hidden="1"/>
    </xf>
    <xf numFmtId="0" fontId="72" fillId="60" borderId="4" xfId="0" applyFont="1" applyFill="1" applyBorder="1" applyAlignment="1" applyProtection="1">
      <alignment horizontal="center" vertical="center" wrapText="1"/>
      <protection hidden="1"/>
    </xf>
    <xf numFmtId="0" fontId="75" fillId="62" borderId="4" xfId="0" applyFont="1" applyFill="1" applyBorder="1" applyAlignment="1" applyProtection="1">
      <alignment horizontal="center" vertical="center"/>
      <protection hidden="1"/>
    </xf>
    <xf numFmtId="166" fontId="10" fillId="0" borderId="0" xfId="0" applyNumberFormat="1" applyFont="1" applyBorder="1" applyProtection="1"/>
    <xf numFmtId="173" fontId="70" fillId="0" borderId="0" xfId="818" applyNumberFormat="1" applyFont="1" applyFill="1" applyBorder="1" applyAlignment="1">
      <alignment horizontal="right"/>
    </xf>
    <xf numFmtId="173" fontId="70" fillId="0" borderId="20" xfId="818" applyNumberFormat="1" applyFont="1" applyFill="1" applyBorder="1" applyAlignment="1">
      <alignment horizontal="right"/>
    </xf>
    <xf numFmtId="0" fontId="0" fillId="74" borderId="66" xfId="0" applyFill="1" applyBorder="1"/>
    <xf numFmtId="2" fontId="0" fillId="74" borderId="22" xfId="0" applyNumberFormat="1" applyFill="1" applyBorder="1" applyAlignment="1">
      <alignment horizontal="center"/>
    </xf>
    <xf numFmtId="0" fontId="0" fillId="74" borderId="22" xfId="0" applyFill="1" applyBorder="1" applyAlignment="1">
      <alignment horizontal="center"/>
    </xf>
    <xf numFmtId="0" fontId="0" fillId="57" borderId="22" xfId="0" applyFill="1" applyBorder="1"/>
    <xf numFmtId="44" fontId="0" fillId="0" borderId="0" xfId="819" applyFont="1"/>
    <xf numFmtId="0" fontId="0" fillId="61" borderId="16" xfId="0" applyFill="1" applyBorder="1" applyProtection="1">
      <protection hidden="1"/>
    </xf>
    <xf numFmtId="0" fontId="0" fillId="61" borderId="0" xfId="0" applyFill="1" applyBorder="1" applyProtection="1">
      <protection hidden="1"/>
    </xf>
    <xf numFmtId="0" fontId="0" fillId="61" borderId="17" xfId="0" applyFill="1" applyBorder="1" applyProtection="1">
      <protection hidden="1"/>
    </xf>
    <xf numFmtId="0" fontId="52" fillId="61" borderId="0" xfId="0" applyFont="1" applyFill="1" applyBorder="1" applyProtection="1">
      <protection hidden="1"/>
    </xf>
    <xf numFmtId="166" fontId="52" fillId="61" borderId="0" xfId="0" applyNumberFormat="1" applyFont="1" applyFill="1" applyBorder="1" applyProtection="1">
      <protection hidden="1"/>
    </xf>
    <xf numFmtId="170" fontId="52" fillId="61" borderId="0" xfId="0" applyNumberFormat="1" applyFont="1" applyFill="1" applyBorder="1" applyProtection="1">
      <protection hidden="1"/>
    </xf>
    <xf numFmtId="170" fontId="52" fillId="61" borderId="0" xfId="0" applyNumberFormat="1" applyFont="1" applyFill="1" applyBorder="1" applyAlignment="1" applyProtection="1">
      <alignment horizontal="right"/>
      <protection hidden="1"/>
    </xf>
    <xf numFmtId="0" fontId="0" fillId="61" borderId="19" xfId="0" applyFill="1" applyBorder="1" applyProtection="1">
      <protection hidden="1"/>
    </xf>
    <xf numFmtId="0" fontId="0" fillId="61" borderId="20" xfId="0" applyFill="1" applyBorder="1" applyProtection="1">
      <protection hidden="1"/>
    </xf>
    <xf numFmtId="0" fontId="0" fillId="61" borderId="21" xfId="0" applyFill="1" applyBorder="1" applyProtection="1">
      <protection hidden="1"/>
    </xf>
    <xf numFmtId="0" fontId="0" fillId="63" borderId="13" xfId="0" applyFill="1" applyBorder="1" applyProtection="1">
      <protection hidden="1"/>
    </xf>
    <xf numFmtId="0" fontId="0" fillId="63" borderId="14" xfId="0" applyFill="1" applyBorder="1" applyProtection="1">
      <protection hidden="1"/>
    </xf>
    <xf numFmtId="0" fontId="0" fillId="63" borderId="15" xfId="0" applyFill="1" applyBorder="1" applyProtection="1">
      <protection hidden="1"/>
    </xf>
    <xf numFmtId="0" fontId="0" fillId="63" borderId="16" xfId="0" applyFill="1" applyBorder="1" applyProtection="1">
      <protection hidden="1"/>
    </xf>
    <xf numFmtId="0" fontId="0" fillId="63" borderId="19" xfId="0" applyFill="1" applyBorder="1" applyProtection="1">
      <protection hidden="1"/>
    </xf>
    <xf numFmtId="0" fontId="0" fillId="63" borderId="17" xfId="0" applyFill="1" applyBorder="1" applyProtection="1">
      <protection hidden="1"/>
    </xf>
    <xf numFmtId="0" fontId="0" fillId="63" borderId="21" xfId="0" applyFill="1" applyBorder="1" applyProtection="1">
      <protection hidden="1"/>
    </xf>
    <xf numFmtId="0" fontId="0" fillId="63" borderId="20" xfId="0" applyFill="1" applyBorder="1" applyProtection="1">
      <protection hidden="1"/>
    </xf>
    <xf numFmtId="0" fontId="0" fillId="66" borderId="13" xfId="0" applyFill="1" applyBorder="1" applyProtection="1">
      <protection hidden="1"/>
    </xf>
    <xf numFmtId="0" fontId="0" fillId="66" borderId="14" xfId="0" applyFill="1" applyBorder="1" applyProtection="1">
      <protection hidden="1"/>
    </xf>
    <xf numFmtId="0" fontId="0" fillId="66" borderId="15" xfId="0" applyFill="1" applyBorder="1" applyProtection="1">
      <protection hidden="1"/>
    </xf>
    <xf numFmtId="0" fontId="49" fillId="66" borderId="16" xfId="0" applyFont="1" applyFill="1" applyBorder="1" applyAlignment="1" applyProtection="1">
      <alignment vertical="center"/>
      <protection hidden="1"/>
    </xf>
    <xf numFmtId="0" fontId="0" fillId="66" borderId="16" xfId="0" applyFill="1" applyBorder="1" applyProtection="1">
      <protection hidden="1"/>
    </xf>
    <xf numFmtId="0" fontId="0" fillId="66" borderId="19" xfId="0" applyFill="1" applyBorder="1" applyProtection="1">
      <protection hidden="1"/>
    </xf>
    <xf numFmtId="0" fontId="0" fillId="66" borderId="20" xfId="0" applyFill="1" applyBorder="1" applyProtection="1">
      <protection hidden="1"/>
    </xf>
    <xf numFmtId="0" fontId="0" fillId="66" borderId="21" xfId="0" applyFill="1" applyBorder="1" applyProtection="1">
      <protection hidden="1"/>
    </xf>
    <xf numFmtId="0" fontId="0" fillId="66" borderId="17" xfId="0" applyFill="1" applyBorder="1" applyProtection="1">
      <protection hidden="1"/>
    </xf>
    <xf numFmtId="2" fontId="3" fillId="73" borderId="22" xfId="0" applyNumberFormat="1" applyFont="1" applyFill="1" applyBorder="1" applyAlignment="1">
      <alignment horizontal="center" vertical="center"/>
    </xf>
    <xf numFmtId="0" fontId="0" fillId="82" borderId="16" xfId="0" applyFill="1" applyBorder="1" applyProtection="1">
      <protection hidden="1"/>
    </xf>
    <xf numFmtId="0" fontId="0" fillId="82" borderId="0" xfId="0" applyFill="1" applyBorder="1" applyProtection="1">
      <protection hidden="1"/>
    </xf>
    <xf numFmtId="0" fontId="0" fillId="82" borderId="17" xfId="0" applyFill="1" applyBorder="1" applyProtection="1">
      <protection hidden="1"/>
    </xf>
    <xf numFmtId="0" fontId="57" fillId="82" borderId="0" xfId="0" applyFont="1" applyFill="1" applyBorder="1" applyProtection="1">
      <protection hidden="1"/>
    </xf>
    <xf numFmtId="0" fontId="11" fillId="82" borderId="0" xfId="0" applyFont="1" applyFill="1" applyBorder="1" applyAlignment="1" applyProtection="1">
      <alignment horizontal="center" vertical="center"/>
      <protection locked="0"/>
    </xf>
    <xf numFmtId="0" fontId="58" fillId="82" borderId="0" xfId="0" applyFont="1" applyFill="1" applyBorder="1" applyProtection="1">
      <protection hidden="1"/>
    </xf>
    <xf numFmtId="0" fontId="11" fillId="82" borderId="0" xfId="0" applyNumberFormat="1" applyFont="1" applyFill="1" applyBorder="1" applyAlignment="1" applyProtection="1">
      <alignment horizontal="center" vertical="center"/>
      <protection locked="0"/>
    </xf>
    <xf numFmtId="1" fontId="11" fillId="82" borderId="0" xfId="0" applyNumberFormat="1" applyFont="1" applyFill="1" applyBorder="1" applyAlignment="1" applyProtection="1">
      <alignment horizontal="center" vertical="center"/>
      <protection locked="0"/>
    </xf>
    <xf numFmtId="10" fontId="11" fillId="82" borderId="0" xfId="818" applyNumberFormat="1" applyFont="1" applyFill="1" applyBorder="1" applyAlignment="1" applyProtection="1">
      <alignment horizontal="center" vertical="center"/>
      <protection locked="0"/>
    </xf>
    <xf numFmtId="0" fontId="78" fillId="82" borderId="0" xfId="0" applyFont="1" applyFill="1" applyBorder="1" applyAlignment="1" applyProtection="1">
      <alignment horizontal="center" vertical="center"/>
      <protection locked="0"/>
    </xf>
    <xf numFmtId="0" fontId="76" fillId="82" borderId="0" xfId="0" applyFont="1" applyFill="1" applyBorder="1" applyProtection="1">
      <protection hidden="1"/>
    </xf>
    <xf numFmtId="171" fontId="79" fillId="82" borderId="0" xfId="819" applyNumberFormat="1" applyFont="1" applyFill="1" applyBorder="1" applyAlignment="1" applyProtection="1">
      <alignment horizontal="center" vertical="center"/>
      <protection locked="0" hidden="1"/>
    </xf>
    <xf numFmtId="0" fontId="73" fillId="82" borderId="0" xfId="0" applyFont="1" applyFill="1" applyBorder="1" applyProtection="1">
      <protection hidden="1"/>
    </xf>
    <xf numFmtId="7" fontId="61" fillId="82" borderId="0" xfId="0" applyNumberFormat="1" applyFont="1" applyFill="1" applyBorder="1" applyAlignment="1" applyProtection="1">
      <alignment horizontal="center" vertical="center"/>
      <protection locked="0"/>
    </xf>
    <xf numFmtId="0" fontId="59" fillId="82" borderId="0" xfId="0" applyFont="1" applyFill="1" applyBorder="1" applyProtection="1">
      <protection hidden="1"/>
    </xf>
    <xf numFmtId="0" fontId="57" fillId="82" borderId="0" xfId="0" applyFont="1" applyFill="1" applyBorder="1" applyAlignment="1" applyProtection="1">
      <alignment horizontal="right" vertical="center"/>
      <protection hidden="1"/>
    </xf>
    <xf numFmtId="7" fontId="63" fillId="82" borderId="0" xfId="0" applyNumberFormat="1" applyFont="1" applyFill="1" applyBorder="1" applyAlignment="1" applyProtection="1">
      <alignment horizontal="center" vertical="center"/>
      <protection hidden="1"/>
    </xf>
    <xf numFmtId="0" fontId="0" fillId="82" borderId="19" xfId="0" applyFill="1" applyBorder="1" applyProtection="1">
      <protection hidden="1"/>
    </xf>
    <xf numFmtId="0" fontId="11" fillId="82" borderId="20" xfId="0" applyFont="1" applyFill="1" applyBorder="1" applyAlignment="1" applyProtection="1">
      <alignment horizontal="right" vertical="center"/>
      <protection hidden="1"/>
    </xf>
    <xf numFmtId="7" fontId="11" fillId="82" borderId="20" xfId="0" applyNumberFormat="1" applyFont="1" applyFill="1" applyBorder="1" applyAlignment="1" applyProtection="1">
      <alignment horizontal="center" vertical="center"/>
      <protection hidden="1"/>
    </xf>
    <xf numFmtId="0" fontId="0" fillId="82" borderId="21" xfId="0" applyFill="1" applyBorder="1" applyProtection="1">
      <protection hidden="1"/>
    </xf>
    <xf numFmtId="166" fontId="52" fillId="61" borderId="0" xfId="0" applyNumberFormat="1" applyFont="1" applyFill="1" applyBorder="1" applyAlignment="1" applyProtection="1">
      <alignment horizontal="right"/>
      <protection hidden="1"/>
    </xf>
    <xf numFmtId="0" fontId="80" fillId="82" borderId="0" xfId="0" applyFont="1" applyFill="1" applyBorder="1" applyProtection="1">
      <protection hidden="1"/>
    </xf>
    <xf numFmtId="0" fontId="75" fillId="63" borderId="0" xfId="0" applyFont="1" applyFill="1" applyBorder="1" applyAlignment="1" applyProtection="1">
      <alignment horizontal="center" vertical="center"/>
      <protection locked="0"/>
    </xf>
    <xf numFmtId="167" fontId="62" fillId="63" borderId="0" xfId="0" applyNumberFormat="1" applyFont="1" applyFill="1" applyBorder="1" applyAlignment="1" applyProtection="1">
      <alignment horizontal="center" vertical="center"/>
      <protection locked="0"/>
    </xf>
    <xf numFmtId="0" fontId="0" fillId="57" borderId="0" xfId="0" applyFill="1" applyProtection="1">
      <protection hidden="1"/>
    </xf>
    <xf numFmtId="0" fontId="82" fillId="57" borderId="0" xfId="820" quotePrefix="1" applyFont="1" applyFill="1" applyProtection="1">
      <protection locked="0"/>
    </xf>
    <xf numFmtId="166" fontId="3" fillId="73" borderId="22" xfId="0" applyNumberFormat="1" applyFont="1" applyFill="1" applyBorder="1" applyAlignment="1">
      <alignment horizontal="center"/>
    </xf>
    <xf numFmtId="166" fontId="0" fillId="61" borderId="0" xfId="0" applyNumberFormat="1" applyFill="1" applyBorder="1" applyAlignment="1" applyProtection="1">
      <alignment horizontal="right"/>
      <protection hidden="1"/>
    </xf>
    <xf numFmtId="0" fontId="46" fillId="57" borderId="0" xfId="0" applyFont="1" applyFill="1" applyProtection="1">
      <protection hidden="1"/>
    </xf>
    <xf numFmtId="16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69" borderId="17" xfId="0" applyNumberFormat="1" applyFill="1" applyBorder="1"/>
    <xf numFmtId="2" fontId="83" fillId="0" borderId="17" xfId="0" applyNumberFormat="1" applyFont="1" applyBorder="1"/>
    <xf numFmtId="0" fontId="53" fillId="72" borderId="0" xfId="0" applyFont="1" applyFill="1" applyAlignment="1" applyProtection="1">
      <alignment horizontal="center"/>
      <protection hidden="1"/>
    </xf>
    <xf numFmtId="0" fontId="55" fillId="72" borderId="0" xfId="0" applyFont="1" applyFill="1" applyAlignment="1" applyProtection="1">
      <alignment horizontal="center"/>
      <protection hidden="1"/>
    </xf>
    <xf numFmtId="0" fontId="54" fillId="72" borderId="0" xfId="0" applyFont="1" applyFill="1" applyAlignment="1" applyProtection="1">
      <alignment horizontal="center"/>
      <protection hidden="1"/>
    </xf>
    <xf numFmtId="0" fontId="13" fillId="68" borderId="42" xfId="0" applyFont="1" applyFill="1" applyBorder="1" applyAlignment="1" applyProtection="1">
      <alignment horizontal="center"/>
      <protection hidden="1"/>
    </xf>
    <xf numFmtId="0" fontId="13" fillId="68" borderId="43" xfId="0" applyFont="1" applyFill="1" applyBorder="1" applyAlignment="1" applyProtection="1">
      <alignment horizontal="center"/>
      <protection hidden="1"/>
    </xf>
    <xf numFmtId="0" fontId="13" fillId="68" borderId="44" xfId="0" applyFont="1" applyFill="1" applyBorder="1" applyAlignment="1" applyProtection="1">
      <alignment horizontal="center"/>
      <protection hidden="1"/>
    </xf>
    <xf numFmtId="0" fontId="12" fillId="83" borderId="42" xfId="0" applyFont="1" applyFill="1" applyBorder="1" applyAlignment="1" applyProtection="1">
      <alignment horizontal="center" vertical="center"/>
      <protection locked="0"/>
    </xf>
    <xf numFmtId="0" fontId="12" fillId="83" borderId="44" xfId="0" applyFont="1" applyFill="1" applyBorder="1" applyAlignment="1" applyProtection="1">
      <alignment horizontal="center" vertical="center"/>
      <protection locked="0"/>
    </xf>
    <xf numFmtId="0" fontId="51" fillId="60" borderId="42" xfId="0" applyFont="1" applyFill="1" applyBorder="1" applyAlignment="1" applyProtection="1">
      <alignment horizontal="center"/>
      <protection hidden="1"/>
    </xf>
    <xf numFmtId="0" fontId="51" fillId="60" borderId="43" xfId="0" applyFont="1" applyFill="1" applyBorder="1" applyAlignment="1" applyProtection="1">
      <alignment horizontal="center"/>
      <protection hidden="1"/>
    </xf>
    <xf numFmtId="0" fontId="51" fillId="60" borderId="44" xfId="0" applyFont="1" applyFill="1" applyBorder="1" applyAlignment="1" applyProtection="1">
      <alignment horizontal="center"/>
      <protection hidden="1"/>
    </xf>
    <xf numFmtId="0" fontId="77" fillId="63" borderId="0" xfId="0" applyFont="1" applyFill="1" applyBorder="1" applyAlignment="1" applyProtection="1">
      <alignment horizontal="center" vertical="center"/>
      <protection hidden="1"/>
    </xf>
    <xf numFmtId="0" fontId="49" fillId="81" borderId="42" xfId="0" quotePrefix="1" applyFont="1" applyFill="1" applyBorder="1" applyAlignment="1" applyProtection="1">
      <alignment horizontal="center" vertical="center"/>
      <protection hidden="1"/>
    </xf>
    <xf numFmtId="0" fontId="49" fillId="81" borderId="44" xfId="0" applyFont="1" applyFill="1" applyBorder="1" applyAlignment="1" applyProtection="1">
      <alignment horizontal="center" vertical="center"/>
      <protection hidden="1"/>
    </xf>
    <xf numFmtId="0" fontId="3" fillId="80" borderId="0" xfId="0" applyFont="1" applyFill="1" applyAlignment="1">
      <alignment horizontal="center"/>
    </xf>
    <xf numFmtId="0" fontId="64" fillId="67" borderId="0" xfId="0" applyFont="1" applyFill="1" applyAlignment="1">
      <alignment horizontal="center"/>
    </xf>
    <xf numFmtId="0" fontId="60" fillId="5" borderId="17" xfId="0" applyFont="1" applyFill="1" applyBorder="1" applyAlignment="1" applyProtection="1">
      <alignment horizontal="center" wrapText="1"/>
    </xf>
    <xf numFmtId="0" fontId="14" fillId="6" borderId="13" xfId="0" applyFont="1" applyFill="1" applyBorder="1" applyAlignment="1" applyProtection="1">
      <alignment horizontal="center"/>
    </xf>
    <xf numFmtId="0" fontId="14" fillId="6" borderId="14" xfId="0" applyFont="1" applyFill="1" applyBorder="1" applyAlignment="1" applyProtection="1">
      <alignment horizontal="center"/>
    </xf>
    <xf numFmtId="0" fontId="14" fillId="6" borderId="15" xfId="0" applyFont="1" applyFill="1" applyBorder="1" applyAlignment="1" applyProtection="1">
      <alignment horizontal="center"/>
    </xf>
    <xf numFmtId="0" fontId="0" fillId="6" borderId="13" xfId="0" applyFont="1" applyFill="1" applyBorder="1" applyAlignment="1" applyProtection="1">
      <alignment horizontal="center"/>
    </xf>
    <xf numFmtId="0" fontId="0" fillId="6" borderId="14" xfId="0" applyFont="1" applyFill="1" applyBorder="1" applyAlignment="1" applyProtection="1">
      <alignment horizontal="center"/>
    </xf>
    <xf numFmtId="0" fontId="0" fillId="6" borderId="15" xfId="0" applyFont="1" applyFill="1" applyBorder="1" applyAlignment="1" applyProtection="1">
      <alignment horizontal="center"/>
    </xf>
    <xf numFmtId="0" fontId="3" fillId="6" borderId="13" xfId="0" applyFont="1" applyFill="1" applyBorder="1" applyAlignment="1" applyProtection="1">
      <alignment horizontal="center"/>
    </xf>
    <xf numFmtId="0" fontId="3" fillId="6" borderId="14" xfId="0" applyFont="1" applyFill="1" applyBorder="1" applyAlignment="1" applyProtection="1">
      <alignment horizontal="center"/>
    </xf>
    <xf numFmtId="0" fontId="3" fillId="6" borderId="15" xfId="0" applyFont="1" applyFill="1" applyBorder="1" applyAlignment="1" applyProtection="1">
      <alignment horizontal="center"/>
    </xf>
    <xf numFmtId="0" fontId="60" fillId="5" borderId="0" xfId="0" applyFont="1" applyFill="1" applyBorder="1" applyAlignment="1" applyProtection="1">
      <alignment horizontal="center"/>
    </xf>
    <xf numFmtId="0" fontId="60" fillId="5" borderId="17" xfId="0" applyFont="1" applyFill="1" applyBorder="1" applyAlignment="1" applyProtection="1">
      <alignment horizontal="center"/>
    </xf>
    <xf numFmtId="0" fontId="60" fillId="5" borderId="16" xfId="0" applyFont="1" applyFill="1" applyBorder="1" applyAlignment="1" applyProtection="1">
      <alignment horizontal="center"/>
    </xf>
    <xf numFmtId="0" fontId="70" fillId="79" borderId="13" xfId="0" applyFont="1" applyFill="1" applyBorder="1" applyAlignment="1">
      <alignment horizontal="left"/>
    </xf>
    <xf numFmtId="0" fontId="70" fillId="79" borderId="14" xfId="0" applyFont="1" applyFill="1" applyBorder="1" applyAlignment="1">
      <alignment horizontal="left"/>
    </xf>
    <xf numFmtId="0" fontId="70" fillId="79" borderId="15" xfId="0" applyFont="1" applyFill="1" applyBorder="1" applyAlignment="1">
      <alignment horizontal="left"/>
    </xf>
    <xf numFmtId="0" fontId="47" fillId="58" borderId="13" xfId="0" applyFont="1" applyFill="1" applyBorder="1" applyAlignment="1">
      <alignment horizontal="center"/>
    </xf>
    <xf numFmtId="0" fontId="47" fillId="58" borderId="14" xfId="0" applyFont="1" applyFill="1" applyBorder="1" applyAlignment="1">
      <alignment horizontal="center"/>
    </xf>
    <xf numFmtId="0" fontId="47" fillId="58" borderId="15" xfId="0" applyFont="1" applyFill="1" applyBorder="1" applyAlignment="1">
      <alignment horizontal="center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8" fillId="0" borderId="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</cellXfs>
  <cellStyles count="821">
    <cellStyle name="20% - Accent1" xfId="19" builtinId="30" customBuiltin="1"/>
    <cellStyle name="20% - Accent1 10" xfId="528" xr:uid="{CBF9F5A7-D2B3-4D5E-8254-613345F05492}"/>
    <cellStyle name="20% - Accent1 2" xfId="55" xr:uid="{282FCCE1-D108-42C1-850E-BD55342A3964}"/>
    <cellStyle name="20% - Accent1 2 2" xfId="408" xr:uid="{AAE780B5-7C9A-4056-A21A-FC79373210B1}"/>
    <cellStyle name="20% - Accent1 2 2 2" xfId="741" xr:uid="{978FD895-B372-4899-9467-0728380DF9E5}"/>
    <cellStyle name="20% - Accent1 2 3" xfId="320" xr:uid="{7EA160BD-2DC0-46A9-ACCB-51D1EF605988}"/>
    <cellStyle name="20% - Accent1 2 3 2" xfId="656" xr:uid="{B77CA3A8-AFA8-4091-B324-8AA5FAC19DF9}"/>
    <cellStyle name="20% - Accent1 2 4" xfId="540" xr:uid="{04DCFA3E-4967-414B-8B99-B1CAD362DBCC}"/>
    <cellStyle name="20% - Accent1 3" xfId="56" xr:uid="{CA157BF9-E690-44CA-9B43-1DBDBA51B2C6}"/>
    <cellStyle name="20% - Accent1 3 2" xfId="409" xr:uid="{9C0F7B75-F8F7-4CE7-B7B1-947A048E8332}"/>
    <cellStyle name="20% - Accent1 3 2 2" xfId="742" xr:uid="{BD2ACDDA-B24E-41FB-8277-132D14AD5363}"/>
    <cellStyle name="20% - Accent1 3 3" xfId="321" xr:uid="{5D347F19-7EFE-42BF-9C9E-E0B8E5D1FA39}"/>
    <cellStyle name="20% - Accent1 3 3 2" xfId="657" xr:uid="{230D2BFB-1142-4ABD-8654-3CF1EB24D508}"/>
    <cellStyle name="20% - Accent1 3 4" xfId="541" xr:uid="{C84E994E-78E7-408E-B665-67D5F2B2FF40}"/>
    <cellStyle name="20% - Accent1 4" xfId="57" xr:uid="{DC12A49C-33BA-42AC-A329-6CBC04CFF06B}"/>
    <cellStyle name="20% - Accent1 4 2" xfId="410" xr:uid="{9A098DCF-C14F-4C69-B80A-6D50B66024A7}"/>
    <cellStyle name="20% - Accent1 4 2 2" xfId="743" xr:uid="{B793F974-453A-46AD-83EB-DC5777A5723C}"/>
    <cellStyle name="20% - Accent1 4 3" xfId="322" xr:uid="{CC8EBB4D-3686-4231-8E6F-B664C433D988}"/>
    <cellStyle name="20% - Accent1 4 3 2" xfId="658" xr:uid="{C7941247-77CC-47FA-99D5-DA9A20923BB1}"/>
    <cellStyle name="20% - Accent1 4 4" xfId="542" xr:uid="{F9AC4780-489A-4329-B1C2-CA52B7A95638}"/>
    <cellStyle name="20% - Accent1 5" xfId="58" xr:uid="{188C03B9-A7E9-4989-BA9D-A9C6411EC492}"/>
    <cellStyle name="20% - Accent1 5 2" xfId="411" xr:uid="{40273F0E-A5AB-4467-AF07-353250245F52}"/>
    <cellStyle name="20% - Accent1 5 2 2" xfId="744" xr:uid="{B19913C9-1F46-408D-8AEB-91994E9889CC}"/>
    <cellStyle name="20% - Accent1 5 3" xfId="323" xr:uid="{74277856-ABB4-4544-93F4-0BC1F32D5C02}"/>
    <cellStyle name="20% - Accent1 5 3 2" xfId="659" xr:uid="{89A99393-78C7-44F7-9F12-522D25FF6090}"/>
    <cellStyle name="20% - Accent1 5 4" xfId="543" xr:uid="{2B2CB544-FC5C-4107-B585-0B89EF9AC05B}"/>
    <cellStyle name="20% - Accent1 6" xfId="59" xr:uid="{182CEA95-52A6-4845-B0E5-7BD0AB73DEBA}"/>
    <cellStyle name="20% - Accent1 6 2" xfId="412" xr:uid="{A5C6590A-6699-44E9-ADE3-41E2854BB7D2}"/>
    <cellStyle name="20% - Accent1 6 2 2" xfId="745" xr:uid="{4975514D-7A4C-48B2-BB86-70D439EC2DF1}"/>
    <cellStyle name="20% - Accent1 6 3" xfId="324" xr:uid="{68D9D67B-2B94-4AE0-857E-41FF0EA78DDE}"/>
    <cellStyle name="20% - Accent1 6 3 2" xfId="660" xr:uid="{F12CF177-AA03-41B1-B47C-1785EF1BF036}"/>
    <cellStyle name="20% - Accent1 6 4" xfId="544" xr:uid="{DC2FEB96-79FD-47C7-B213-9A245A1F756B}"/>
    <cellStyle name="20% - Accent1 7" xfId="60" xr:uid="{8BF94C8F-5324-49E5-AC02-7D6C93A34A85}"/>
    <cellStyle name="20% - Accent1 7 2" xfId="413" xr:uid="{F13004BA-2CFA-44FC-9F16-519841789804}"/>
    <cellStyle name="20% - Accent1 7 2 2" xfId="746" xr:uid="{FD2EE783-C707-4D2B-8C5A-5BEE9FCD3A2B}"/>
    <cellStyle name="20% - Accent1 7 3" xfId="325" xr:uid="{CB72262D-88AE-4B2F-B032-48498389B146}"/>
    <cellStyle name="20% - Accent1 7 3 2" xfId="661" xr:uid="{7A08FF1F-E798-4DBA-94C5-4592A5D7B0B4}"/>
    <cellStyle name="20% - Accent1 7 4" xfId="545" xr:uid="{C80B4B52-3265-4E9D-BB43-73F6AC5A60CB}"/>
    <cellStyle name="20% - Accent1 8" xfId="61" xr:uid="{34B62809-BC34-423C-B88D-B3657F9784DF}"/>
    <cellStyle name="20% - Accent1 8 2" xfId="414" xr:uid="{B1804E42-87DC-45CE-B30D-D23FBD3E4418}"/>
    <cellStyle name="20% - Accent1 8 2 2" xfId="747" xr:uid="{713B941D-8C1D-406A-8003-074F9F6B4DE8}"/>
    <cellStyle name="20% - Accent1 8 3" xfId="326" xr:uid="{CDB39A1D-628D-4DCF-A1F3-89B39A7B44A3}"/>
    <cellStyle name="20% - Accent1 8 3 2" xfId="662" xr:uid="{B99C32CF-F268-4B4B-B6EB-B24FDE9DE061}"/>
    <cellStyle name="20% - Accent1 8 4" xfId="546" xr:uid="{DDB76795-F736-48AC-BC86-61AD276C8066}"/>
    <cellStyle name="20% - Accent1 9" xfId="503" xr:uid="{8ED93D49-88E5-4C09-B573-6344879D5C43}"/>
    <cellStyle name="20% - Accent1 9 2" xfId="628" xr:uid="{BDA263F8-0CED-49D0-9CA4-5D100D257F9E}"/>
    <cellStyle name="20% - Accent2" xfId="22" builtinId="34" customBuiltin="1"/>
    <cellStyle name="20% - Accent2 10" xfId="530" xr:uid="{CB1E6883-F923-4DC9-A841-4A6E445F7A61}"/>
    <cellStyle name="20% - Accent2 2" xfId="62" xr:uid="{60E1275C-275A-4F4A-8F77-F56B456AB58E}"/>
    <cellStyle name="20% - Accent2 2 2" xfId="415" xr:uid="{62A90A3F-C3BD-45CF-B5C7-35CEBA781E89}"/>
    <cellStyle name="20% - Accent2 2 2 2" xfId="748" xr:uid="{2C2D3EAA-EEC3-4404-807B-43662DE29E22}"/>
    <cellStyle name="20% - Accent2 2 3" xfId="327" xr:uid="{36469C30-074B-457E-BC3F-7FF9C909B6A1}"/>
    <cellStyle name="20% - Accent2 2 3 2" xfId="663" xr:uid="{26D95243-F821-4F72-85FC-60162ED72CAE}"/>
    <cellStyle name="20% - Accent2 2 4" xfId="547" xr:uid="{B15DA060-A080-4280-BB03-10D5D20BF2C9}"/>
    <cellStyle name="20% - Accent2 3" xfId="63" xr:uid="{212AB483-7226-4CEF-8332-63747AA69622}"/>
    <cellStyle name="20% - Accent2 3 2" xfId="416" xr:uid="{15A5FEF5-3706-43A9-9902-4FF08B175130}"/>
    <cellStyle name="20% - Accent2 3 2 2" xfId="749" xr:uid="{84B8ABDC-3F2C-4F13-9197-3EC50EFA3784}"/>
    <cellStyle name="20% - Accent2 3 3" xfId="328" xr:uid="{75043A12-CA48-463E-B573-DCB9F9B3E4A7}"/>
    <cellStyle name="20% - Accent2 3 3 2" xfId="664" xr:uid="{2D52F895-A8A6-44EA-B6DF-9B81D460B79E}"/>
    <cellStyle name="20% - Accent2 3 4" xfId="548" xr:uid="{30D87F97-C6B4-42C0-9ACF-B082A4AE0A30}"/>
    <cellStyle name="20% - Accent2 4" xfId="64" xr:uid="{F193B5E9-B3B4-4AAF-938B-186BAB8376BC}"/>
    <cellStyle name="20% - Accent2 4 2" xfId="417" xr:uid="{D30548B6-AEFB-4487-B437-37BF2F98705F}"/>
    <cellStyle name="20% - Accent2 4 2 2" xfId="750" xr:uid="{8547145B-7A01-45E1-940D-80BD566CB655}"/>
    <cellStyle name="20% - Accent2 4 3" xfId="329" xr:uid="{233B27E5-45BE-48CB-B9B7-BC9DDAFE9095}"/>
    <cellStyle name="20% - Accent2 4 3 2" xfId="665" xr:uid="{6061A2A6-10A3-4CE8-A4AC-2B153CA1173E}"/>
    <cellStyle name="20% - Accent2 4 4" xfId="549" xr:uid="{F8214301-A9E8-4862-ADDC-118153FEE755}"/>
    <cellStyle name="20% - Accent2 5" xfId="65" xr:uid="{BCB1143B-1AC6-4FAA-BBC2-9BB0A644D1B6}"/>
    <cellStyle name="20% - Accent2 5 2" xfId="418" xr:uid="{656CA569-9C6F-4094-AB9A-A052933CF5CA}"/>
    <cellStyle name="20% - Accent2 5 2 2" xfId="751" xr:uid="{03C50622-2E6D-49CD-80A3-346BD2828D9F}"/>
    <cellStyle name="20% - Accent2 5 3" xfId="330" xr:uid="{B03F838A-34D1-47C6-89BA-BF7707B3B414}"/>
    <cellStyle name="20% - Accent2 5 3 2" xfId="666" xr:uid="{C6500C17-3192-42D6-B13F-112DAB5EAB93}"/>
    <cellStyle name="20% - Accent2 5 4" xfId="550" xr:uid="{64F090C5-327B-4D17-A9F1-D83704EA5289}"/>
    <cellStyle name="20% - Accent2 6" xfId="66" xr:uid="{D0C0F9CF-B4D6-4FDC-8B80-2A81026D1C49}"/>
    <cellStyle name="20% - Accent2 6 2" xfId="419" xr:uid="{4EC7BAE4-D622-4EC5-9931-3458A6D2C42A}"/>
    <cellStyle name="20% - Accent2 6 2 2" xfId="752" xr:uid="{03FBACF3-F0EB-4518-87B2-1FEE5E1348BF}"/>
    <cellStyle name="20% - Accent2 6 3" xfId="331" xr:uid="{C7371D6F-E319-413A-A036-C6B74320BFE7}"/>
    <cellStyle name="20% - Accent2 6 3 2" xfId="667" xr:uid="{E1B15628-D492-47E7-A6D3-5C9E50047E95}"/>
    <cellStyle name="20% - Accent2 6 4" xfId="551" xr:uid="{9BA867F9-065E-473E-82D8-5B7FB356B8A3}"/>
    <cellStyle name="20% - Accent2 7" xfId="67" xr:uid="{A216FD76-4F89-4B56-9395-77F97079A787}"/>
    <cellStyle name="20% - Accent2 7 2" xfId="420" xr:uid="{EFD6D2C6-DC98-49D3-8130-67DCACD8528C}"/>
    <cellStyle name="20% - Accent2 7 2 2" xfId="753" xr:uid="{60460010-7D5D-4A5A-9608-F7933BDF69C9}"/>
    <cellStyle name="20% - Accent2 7 3" xfId="332" xr:uid="{DD6329F2-A9F8-4A68-9A9C-264C4F3FD130}"/>
    <cellStyle name="20% - Accent2 7 3 2" xfId="668" xr:uid="{8D4E0B74-9C04-4DEC-8B01-FBFBB4037F23}"/>
    <cellStyle name="20% - Accent2 7 4" xfId="552" xr:uid="{BB273D80-0E6D-4935-85AE-A19A1A55F7EC}"/>
    <cellStyle name="20% - Accent2 8" xfId="68" xr:uid="{AB799DC1-080A-4857-8A93-57C2EFB00029}"/>
    <cellStyle name="20% - Accent2 8 2" xfId="421" xr:uid="{32540AC1-D279-472E-9DEC-D8D44E437CDE}"/>
    <cellStyle name="20% - Accent2 8 2 2" xfId="754" xr:uid="{5B2BB42A-012B-438F-8CBA-FF43026172CC}"/>
    <cellStyle name="20% - Accent2 8 3" xfId="333" xr:uid="{556D2BB3-0471-423A-9B5D-3F4A5EC324CF}"/>
    <cellStyle name="20% - Accent2 8 3 2" xfId="669" xr:uid="{075D73DF-3E2F-4386-8811-80CA50D52B10}"/>
    <cellStyle name="20% - Accent2 8 4" xfId="553" xr:uid="{C5AB1489-8604-4AD0-99D2-B5C7078ECB89}"/>
    <cellStyle name="20% - Accent2 9" xfId="507" xr:uid="{EBB71956-B9A0-418D-A5BE-A144FF7EF7DE}"/>
    <cellStyle name="20% - Accent2 9 2" xfId="630" xr:uid="{E9BB8926-A036-409C-9641-39E6EC20B7DD}"/>
    <cellStyle name="20% - Accent3" xfId="25" builtinId="38" customBuiltin="1"/>
    <cellStyle name="20% - Accent3 10" xfId="532" xr:uid="{ACEE14BF-637D-4CA7-BBA6-4F725E6FEE60}"/>
    <cellStyle name="20% - Accent3 2" xfId="69" xr:uid="{745CFADA-4AB9-4D62-8B87-E383888510CA}"/>
    <cellStyle name="20% - Accent3 2 2" xfId="422" xr:uid="{A7BE5FB5-90D9-482F-BBEF-E7DA221C1CCD}"/>
    <cellStyle name="20% - Accent3 2 2 2" xfId="755" xr:uid="{4FCDF451-92DE-4674-B81F-A5748905E6BC}"/>
    <cellStyle name="20% - Accent3 2 3" xfId="334" xr:uid="{1FFB29B7-2A99-4623-A210-E0695797D32D}"/>
    <cellStyle name="20% - Accent3 2 3 2" xfId="670" xr:uid="{39A3B6A8-19EB-4C87-9DAB-E231F5F014E4}"/>
    <cellStyle name="20% - Accent3 2 4" xfId="554" xr:uid="{69E2013B-8086-4C5F-B4F3-2C652A5D9DCE}"/>
    <cellStyle name="20% - Accent3 3" xfId="70" xr:uid="{7B602B5C-71A1-493F-9BC2-AA468E6D3C05}"/>
    <cellStyle name="20% - Accent3 3 2" xfId="423" xr:uid="{64F4D6B5-503A-4FB6-B29F-56B0071E4678}"/>
    <cellStyle name="20% - Accent3 3 2 2" xfId="756" xr:uid="{FB1152CE-97A1-460D-BDB3-640E9C293282}"/>
    <cellStyle name="20% - Accent3 3 3" xfId="335" xr:uid="{1DB1F3D0-1FE4-405A-8A3A-4791812EDD87}"/>
    <cellStyle name="20% - Accent3 3 3 2" xfId="671" xr:uid="{9D9BDC2E-8FBE-4744-970A-112121ECA22E}"/>
    <cellStyle name="20% - Accent3 3 4" xfId="555" xr:uid="{3E030FDA-DDA9-40B8-8BFA-85D8D69135D0}"/>
    <cellStyle name="20% - Accent3 4" xfId="71" xr:uid="{E6DF0CBF-AF4F-46D2-A6DD-E680F971E9BF}"/>
    <cellStyle name="20% - Accent3 4 2" xfId="424" xr:uid="{CBFC39CB-868C-4B2D-B0C2-E413866725AD}"/>
    <cellStyle name="20% - Accent3 4 2 2" xfId="757" xr:uid="{15522DDD-1942-4B9B-A1D6-021DB65DD1AB}"/>
    <cellStyle name="20% - Accent3 4 3" xfId="336" xr:uid="{E8545605-D668-444F-BE09-5FABAADC1903}"/>
    <cellStyle name="20% - Accent3 4 3 2" xfId="672" xr:uid="{1EA040EE-D02A-4BA3-ABCD-B5E96D1D3EA6}"/>
    <cellStyle name="20% - Accent3 4 4" xfId="556" xr:uid="{07B61453-97A9-4F44-99EF-CDE3F9FE44D5}"/>
    <cellStyle name="20% - Accent3 5" xfId="72" xr:uid="{E24CA2D7-DAE5-4839-8BBE-8D03414AB9AB}"/>
    <cellStyle name="20% - Accent3 5 2" xfId="425" xr:uid="{4066B1EF-A504-46E4-8A97-BD337037CF03}"/>
    <cellStyle name="20% - Accent3 5 2 2" xfId="758" xr:uid="{741449EC-C9D9-42EA-BAC8-44864D80EF6D}"/>
    <cellStyle name="20% - Accent3 5 3" xfId="337" xr:uid="{4DB29254-D2F8-4A17-AC1A-E4921CE9EA37}"/>
    <cellStyle name="20% - Accent3 5 3 2" xfId="673" xr:uid="{F2F7F84E-48E7-4222-9B50-FCC2DB5C4717}"/>
    <cellStyle name="20% - Accent3 5 4" xfId="557" xr:uid="{BF8E27C5-DF1B-4FA9-8936-DA43BF02232C}"/>
    <cellStyle name="20% - Accent3 6" xfId="73" xr:uid="{32B7F747-E7B2-4A15-A818-385F780063AC}"/>
    <cellStyle name="20% - Accent3 6 2" xfId="426" xr:uid="{6134F2ED-2505-4F5E-B362-1AA70304BA19}"/>
    <cellStyle name="20% - Accent3 6 2 2" xfId="759" xr:uid="{78775D35-8ED9-41D6-AD86-C51FB11D8395}"/>
    <cellStyle name="20% - Accent3 6 3" xfId="338" xr:uid="{2AA01966-99F3-428E-AB14-6394C6990D45}"/>
    <cellStyle name="20% - Accent3 6 3 2" xfId="674" xr:uid="{8F15ED48-E132-4B82-9550-0774F5E6EB1C}"/>
    <cellStyle name="20% - Accent3 6 4" xfId="558" xr:uid="{F71CA84E-2739-41E6-B1B2-1CB381F370DB}"/>
    <cellStyle name="20% - Accent3 7" xfId="74" xr:uid="{6552E935-F808-45C7-BA34-EFA0CD3B9106}"/>
    <cellStyle name="20% - Accent3 7 2" xfId="427" xr:uid="{0C6FF49F-BB2D-410B-BF65-E5DC3554E51D}"/>
    <cellStyle name="20% - Accent3 7 2 2" xfId="760" xr:uid="{981ED658-41EC-4818-A01F-1D26864BC997}"/>
    <cellStyle name="20% - Accent3 7 3" xfId="339" xr:uid="{C4323C08-DF42-452A-A628-F13558F02E8A}"/>
    <cellStyle name="20% - Accent3 7 3 2" xfId="675" xr:uid="{1FA42172-1FE8-4299-9508-0A5BF91E6988}"/>
    <cellStyle name="20% - Accent3 7 4" xfId="559" xr:uid="{C4A7D7D2-9AE6-4691-822E-20592824C47B}"/>
    <cellStyle name="20% - Accent3 8" xfId="75" xr:uid="{6FB9465C-C59A-4474-8291-AC7C7A9B24A8}"/>
    <cellStyle name="20% - Accent3 8 2" xfId="428" xr:uid="{07B5BF59-BB1F-4371-A267-2FF4E2989A3F}"/>
    <cellStyle name="20% - Accent3 8 2 2" xfId="761" xr:uid="{18C2663D-7D17-4CEE-AE4C-93B12CA522C8}"/>
    <cellStyle name="20% - Accent3 8 3" xfId="340" xr:uid="{2D9FA8BF-BE85-46EA-ADB7-F05C8C3F5ECA}"/>
    <cellStyle name="20% - Accent3 8 3 2" xfId="676" xr:uid="{522F812D-E0E4-4B1F-9D8B-422D88DDF273}"/>
    <cellStyle name="20% - Accent3 8 4" xfId="560" xr:uid="{0841B4BB-D837-4E22-B8F0-68AA6EE34725}"/>
    <cellStyle name="20% - Accent3 9" xfId="511" xr:uid="{35764479-32C2-441E-A718-ED78BAA3E1BC}"/>
    <cellStyle name="20% - Accent3 9 2" xfId="632" xr:uid="{F0E74BBC-18BF-402B-A4FE-CF7B00A40959}"/>
    <cellStyle name="20% - Accent4" xfId="28" builtinId="42" customBuiltin="1"/>
    <cellStyle name="20% - Accent4 10" xfId="534" xr:uid="{AE097337-B079-483F-8B04-9CA2121E1575}"/>
    <cellStyle name="20% - Accent4 2" xfId="76" xr:uid="{C6F523B2-DE5B-48B9-A680-23E005DACEFB}"/>
    <cellStyle name="20% - Accent4 2 2" xfId="429" xr:uid="{A6533588-C17B-497E-96E7-B6D25FA81CC4}"/>
    <cellStyle name="20% - Accent4 2 2 2" xfId="762" xr:uid="{AE25EF49-6A74-4A95-931B-72689F3AE1BF}"/>
    <cellStyle name="20% - Accent4 2 3" xfId="341" xr:uid="{32FBAD75-5F31-4E07-85B4-461BC5E6B0E7}"/>
    <cellStyle name="20% - Accent4 2 3 2" xfId="677" xr:uid="{E7DAB9FB-3D39-411C-A435-709F0A23D0B0}"/>
    <cellStyle name="20% - Accent4 2 4" xfId="561" xr:uid="{F718EDF7-D462-4EDD-B730-842324CA110E}"/>
    <cellStyle name="20% - Accent4 3" xfId="77" xr:uid="{044567D1-CDDE-4D18-9ABC-449A2E09D477}"/>
    <cellStyle name="20% - Accent4 3 2" xfId="430" xr:uid="{2137485C-EA14-46B4-8C00-B06E716AFD09}"/>
    <cellStyle name="20% - Accent4 3 2 2" xfId="763" xr:uid="{23B5E80B-673D-43AF-9067-47336935273D}"/>
    <cellStyle name="20% - Accent4 3 3" xfId="342" xr:uid="{4864CE4B-5CC5-46A5-BB19-EDE66372E100}"/>
    <cellStyle name="20% - Accent4 3 3 2" xfId="678" xr:uid="{48915D13-528B-4E0D-BB6C-CC22D93E317B}"/>
    <cellStyle name="20% - Accent4 3 4" xfId="562" xr:uid="{643A168C-E2B3-4A6A-9D9A-1714CB271145}"/>
    <cellStyle name="20% - Accent4 4" xfId="78" xr:uid="{1FF4B9CD-D2C6-4059-B776-6C1E29A8777E}"/>
    <cellStyle name="20% - Accent4 4 2" xfId="431" xr:uid="{3B1A5F72-6580-448D-B686-B5C227CF6C72}"/>
    <cellStyle name="20% - Accent4 4 2 2" xfId="764" xr:uid="{C5EABB92-6938-402C-85F2-3F91F44EAF94}"/>
    <cellStyle name="20% - Accent4 4 3" xfId="343" xr:uid="{66A1D968-D0D8-4D5C-95A2-756F422D0419}"/>
    <cellStyle name="20% - Accent4 4 3 2" xfId="679" xr:uid="{D224BA95-BF72-4478-B8CF-1A80EE4A28E8}"/>
    <cellStyle name="20% - Accent4 4 4" xfId="563" xr:uid="{F0EDAFBD-EF5C-41B2-995A-50DD6496B60C}"/>
    <cellStyle name="20% - Accent4 5" xfId="79" xr:uid="{91246DDD-F2A7-419F-8AD1-7DF1B6DB952B}"/>
    <cellStyle name="20% - Accent4 5 2" xfId="432" xr:uid="{07FE10F7-ED0D-45D1-A87D-6577B12ED920}"/>
    <cellStyle name="20% - Accent4 5 2 2" xfId="765" xr:uid="{E1217AE7-EDD0-4ABC-BD60-F943E62E9A22}"/>
    <cellStyle name="20% - Accent4 5 3" xfId="344" xr:uid="{DFDD6C24-5A12-4787-97B7-F108C6F82092}"/>
    <cellStyle name="20% - Accent4 5 3 2" xfId="680" xr:uid="{4D39FCD8-0E09-4EC0-A8EB-BD15A6A88407}"/>
    <cellStyle name="20% - Accent4 5 4" xfId="564" xr:uid="{7274EADD-8E29-40B5-AF3B-9D4A14C2B113}"/>
    <cellStyle name="20% - Accent4 6" xfId="80" xr:uid="{CAD7C7AC-F5CC-41F0-9241-253F9E27AAFE}"/>
    <cellStyle name="20% - Accent4 6 2" xfId="433" xr:uid="{5511CB40-B0F5-40E0-BA96-B1EE23940CCA}"/>
    <cellStyle name="20% - Accent4 6 2 2" xfId="766" xr:uid="{204F35C8-2DB7-40E5-95E7-563E63061A03}"/>
    <cellStyle name="20% - Accent4 6 3" xfId="345" xr:uid="{09CC101B-60EB-426E-8EC6-F02E57E0E8C8}"/>
    <cellStyle name="20% - Accent4 6 3 2" xfId="681" xr:uid="{8648A1A4-5D5A-498F-8B4D-6310FA44D61E}"/>
    <cellStyle name="20% - Accent4 6 4" xfId="565" xr:uid="{723F278B-AE05-4A42-9F86-E8398E0D6DF6}"/>
    <cellStyle name="20% - Accent4 7" xfId="81" xr:uid="{7E1CA038-4D4E-4ECB-86DD-15D4BE767815}"/>
    <cellStyle name="20% - Accent4 7 2" xfId="434" xr:uid="{719EC122-40EE-4C4D-B28A-C87D2B6BC89E}"/>
    <cellStyle name="20% - Accent4 7 2 2" xfId="767" xr:uid="{F1FEC389-3429-41FF-8853-69E36A10A951}"/>
    <cellStyle name="20% - Accent4 7 3" xfId="346" xr:uid="{1CA24F93-BDFC-4E20-89A0-C479725C6F84}"/>
    <cellStyle name="20% - Accent4 7 3 2" xfId="682" xr:uid="{D71DFA9A-AC9E-413A-BA00-0275ED111269}"/>
    <cellStyle name="20% - Accent4 7 4" xfId="566" xr:uid="{C1E9B7FB-819A-4149-B56E-974312700A8F}"/>
    <cellStyle name="20% - Accent4 8" xfId="82" xr:uid="{B4B7EBFB-E6D0-4710-87A9-145E4FF8C489}"/>
    <cellStyle name="20% - Accent4 8 2" xfId="435" xr:uid="{359067B1-F3CE-498C-A67E-F0BBFB6D7D71}"/>
    <cellStyle name="20% - Accent4 8 2 2" xfId="768" xr:uid="{5BBA0420-C51A-4FC8-A3C6-EBA01239046C}"/>
    <cellStyle name="20% - Accent4 8 3" xfId="347" xr:uid="{CE8444FE-1BDA-4349-80AA-32BFA61769A7}"/>
    <cellStyle name="20% - Accent4 8 3 2" xfId="683" xr:uid="{C32FDD2E-0ECD-4222-8533-860DFB18B0B0}"/>
    <cellStyle name="20% - Accent4 8 4" xfId="567" xr:uid="{DE949118-47C9-4F80-9321-248056179CC6}"/>
    <cellStyle name="20% - Accent4 9" xfId="515" xr:uid="{053E5777-DE57-4819-885D-56D1AE416D4A}"/>
    <cellStyle name="20% - Accent4 9 2" xfId="634" xr:uid="{7BE2924A-1D3F-4244-A976-93A305130E9D}"/>
    <cellStyle name="20% - Accent5" xfId="31" builtinId="46" customBuiltin="1"/>
    <cellStyle name="20% - Accent5 2" xfId="519" xr:uid="{A43CCE48-EC2A-4611-AEB6-A2D660687793}"/>
    <cellStyle name="20% - Accent5 2 2" xfId="636" xr:uid="{F3E23E8B-06EC-4292-99DE-C7F58AE6BE63}"/>
    <cellStyle name="20% - Accent5 3" xfId="536" xr:uid="{77F3BE92-DAA6-40E1-9E8B-768C29204C6A}"/>
    <cellStyle name="20% - Accent6" xfId="34" builtinId="50" customBuiltin="1"/>
    <cellStyle name="20% - Accent6 10" xfId="538" xr:uid="{F90F47D8-D430-40BC-9B56-173C3AA7F48E}"/>
    <cellStyle name="20% - Accent6 2" xfId="83" xr:uid="{031B5A29-785B-4F26-99D8-2380F77BCA7F}"/>
    <cellStyle name="20% - Accent6 2 2" xfId="436" xr:uid="{65060112-61A3-4068-8F33-9C21A390ADF8}"/>
    <cellStyle name="20% - Accent6 2 2 2" xfId="769" xr:uid="{0C82BF83-5BC2-498E-9780-A7C5D26B639A}"/>
    <cellStyle name="20% - Accent6 2 3" xfId="348" xr:uid="{5AA39D0E-E7E6-4D8D-A2DB-7629B67F875F}"/>
    <cellStyle name="20% - Accent6 2 3 2" xfId="684" xr:uid="{395ACA6C-A5DD-4DF6-9B5A-01AB96F9CBCC}"/>
    <cellStyle name="20% - Accent6 2 4" xfId="568" xr:uid="{E834D974-B990-4576-9AB8-08778BEFAB64}"/>
    <cellStyle name="20% - Accent6 3" xfId="84" xr:uid="{1793B19E-4218-4529-91FA-ADB8C3703E04}"/>
    <cellStyle name="20% - Accent6 3 2" xfId="437" xr:uid="{EB12581C-9289-46E3-A30F-CAE38FC23734}"/>
    <cellStyle name="20% - Accent6 3 2 2" xfId="770" xr:uid="{FAB4A21E-0BEF-4654-ADBA-985348F90563}"/>
    <cellStyle name="20% - Accent6 3 3" xfId="349" xr:uid="{98AA264D-3977-46C1-94EE-74C001E3A92E}"/>
    <cellStyle name="20% - Accent6 3 3 2" xfId="685" xr:uid="{95EC99B9-FA08-48A4-A2E4-562832222DF4}"/>
    <cellStyle name="20% - Accent6 3 4" xfId="569" xr:uid="{25254269-EB04-47D2-AE6C-0D557B9B6C38}"/>
    <cellStyle name="20% - Accent6 4" xfId="85" xr:uid="{4660969B-7584-4CBB-B629-4DAF7B0A836A}"/>
    <cellStyle name="20% - Accent6 4 2" xfId="438" xr:uid="{C1814180-E32A-4E15-A768-2F6F7527210A}"/>
    <cellStyle name="20% - Accent6 4 2 2" xfId="771" xr:uid="{F38380FB-E44D-452E-B12F-97DFFFC69403}"/>
    <cellStyle name="20% - Accent6 4 3" xfId="350" xr:uid="{078C2C93-FAA2-41AB-B54E-8C826EA90AB8}"/>
    <cellStyle name="20% - Accent6 4 3 2" xfId="686" xr:uid="{03F511D6-A02D-40E1-8584-950105C41E0C}"/>
    <cellStyle name="20% - Accent6 4 4" xfId="570" xr:uid="{FED666A3-7115-40B1-A0CB-44635565DD63}"/>
    <cellStyle name="20% - Accent6 5" xfId="86" xr:uid="{8D734DDB-A43F-4BD5-8918-B96FE6D46513}"/>
    <cellStyle name="20% - Accent6 5 2" xfId="439" xr:uid="{C9D2C4C5-C01D-4FFE-9731-BC6D17AAADB6}"/>
    <cellStyle name="20% - Accent6 5 2 2" xfId="772" xr:uid="{EDF015C2-C05F-4693-A4E6-3201E795299C}"/>
    <cellStyle name="20% - Accent6 5 3" xfId="351" xr:uid="{BFFEA9CC-133A-431C-8472-0102BC55DD8A}"/>
    <cellStyle name="20% - Accent6 5 3 2" xfId="687" xr:uid="{160E622C-9AF6-499B-BF93-EA606878DA47}"/>
    <cellStyle name="20% - Accent6 5 4" xfId="571" xr:uid="{54373F5C-5054-4D87-96B0-78131543D08E}"/>
    <cellStyle name="20% - Accent6 6" xfId="87" xr:uid="{91964A73-4992-40DA-9445-506B00F442FC}"/>
    <cellStyle name="20% - Accent6 6 2" xfId="440" xr:uid="{40A0B915-2E66-4455-88D9-653FAFCA01FB}"/>
    <cellStyle name="20% - Accent6 6 2 2" xfId="773" xr:uid="{720E1B41-69FE-48EC-B502-0AFFE90DAD44}"/>
    <cellStyle name="20% - Accent6 6 3" xfId="352" xr:uid="{ED9503A3-67F7-4588-B781-F5CCBBA68732}"/>
    <cellStyle name="20% - Accent6 6 3 2" xfId="688" xr:uid="{4927971C-E369-4F39-9B92-9C0EB4F07494}"/>
    <cellStyle name="20% - Accent6 6 4" xfId="572" xr:uid="{A47EEF73-F5DE-4E58-AFE0-89368E69EE7E}"/>
    <cellStyle name="20% - Accent6 7" xfId="88" xr:uid="{CD5A9A36-2BE5-457B-B0F5-099621837E21}"/>
    <cellStyle name="20% - Accent6 7 2" xfId="441" xr:uid="{52550D2A-075B-4D5A-B1F7-457CB36E42FF}"/>
    <cellStyle name="20% - Accent6 7 2 2" xfId="774" xr:uid="{895281E2-B705-4F6A-BF8B-828377CD0FEB}"/>
    <cellStyle name="20% - Accent6 7 3" xfId="353" xr:uid="{A6288EB2-BBE4-4249-B2D7-2CC2AE401BE3}"/>
    <cellStyle name="20% - Accent6 7 3 2" xfId="689" xr:uid="{CF1E4699-EDA4-4B22-AA2B-66880015F292}"/>
    <cellStyle name="20% - Accent6 7 4" xfId="573" xr:uid="{F69F96AE-936B-4075-94CA-3FD5E60E1F9B}"/>
    <cellStyle name="20% - Accent6 8" xfId="89" xr:uid="{21E981DE-4BEB-4AE8-988F-C97E24C9CD72}"/>
    <cellStyle name="20% - Accent6 8 2" xfId="442" xr:uid="{DB81E0E8-CF65-430B-82F5-BE46B9FCF554}"/>
    <cellStyle name="20% - Accent6 8 2 2" xfId="775" xr:uid="{98B1B23F-6513-4A7E-911F-0F16A09C0B23}"/>
    <cellStyle name="20% - Accent6 8 3" xfId="354" xr:uid="{E275FDC0-8536-4A8E-A31C-606070620A93}"/>
    <cellStyle name="20% - Accent6 8 3 2" xfId="690" xr:uid="{2FE171B0-A7FF-4A7A-B8C2-DB3D81E0EA73}"/>
    <cellStyle name="20% - Accent6 8 4" xfId="574" xr:uid="{F9930AC0-836C-489F-809C-013C23F16253}"/>
    <cellStyle name="20% - Accent6 9" xfId="523" xr:uid="{372BD3FA-5AB8-43E5-9EF8-05EE3DFD979B}"/>
    <cellStyle name="20% - Accent6 9 2" xfId="638" xr:uid="{59A855EA-AC44-45B7-98F9-2A2EAA8E80E5}"/>
    <cellStyle name="40% - Accent1" xfId="20" builtinId="31" customBuiltin="1"/>
    <cellStyle name="40% - Accent1 10" xfId="529" xr:uid="{3E059DE6-EFBD-48DB-9222-14C57BBA1FE7}"/>
    <cellStyle name="40% - Accent1 2" xfId="90" xr:uid="{9C82205C-DC9A-4135-8EA3-4205718FA31A}"/>
    <cellStyle name="40% - Accent1 2 2" xfId="443" xr:uid="{C2644E67-A096-471C-9FF7-60BEA2C92944}"/>
    <cellStyle name="40% - Accent1 2 2 2" xfId="776" xr:uid="{B7F22554-E51E-4C36-A95E-4E301827E47B}"/>
    <cellStyle name="40% - Accent1 2 3" xfId="355" xr:uid="{004D1658-CF33-43C4-A5B1-0AC4B7CCBC8A}"/>
    <cellStyle name="40% - Accent1 2 3 2" xfId="691" xr:uid="{C50929A0-42B1-4EDC-A0E3-53F4A3B48A09}"/>
    <cellStyle name="40% - Accent1 2 4" xfId="575" xr:uid="{750CC94C-916A-4474-B52C-8AB128D01A66}"/>
    <cellStyle name="40% - Accent1 3" xfId="91" xr:uid="{DF5CA62B-FE26-4A86-BB99-62FF47A14143}"/>
    <cellStyle name="40% - Accent1 3 2" xfId="444" xr:uid="{C9AE606B-F04F-4604-BD23-050EEC739326}"/>
    <cellStyle name="40% - Accent1 3 2 2" xfId="777" xr:uid="{AAE40B84-0BB2-4893-B8F4-5E8C0963B442}"/>
    <cellStyle name="40% - Accent1 3 3" xfId="356" xr:uid="{C8873B41-5B87-4936-A1BE-F60149E0AD9D}"/>
    <cellStyle name="40% - Accent1 3 3 2" xfId="692" xr:uid="{46D3B759-EDEE-4589-B2BC-3C6794330310}"/>
    <cellStyle name="40% - Accent1 3 4" xfId="576" xr:uid="{74A192EA-D487-4EAF-87C8-459F0E65EF76}"/>
    <cellStyle name="40% - Accent1 4" xfId="92" xr:uid="{1A648B66-DABF-455B-BCF2-C444B809AD85}"/>
    <cellStyle name="40% - Accent1 4 2" xfId="445" xr:uid="{FBC94248-F0C2-4279-9133-3196445E63B0}"/>
    <cellStyle name="40% - Accent1 4 2 2" xfId="778" xr:uid="{63DA6F74-990B-44CD-8579-51063623357D}"/>
    <cellStyle name="40% - Accent1 4 3" xfId="357" xr:uid="{77952F07-A699-429A-89B3-E3282F5A98B2}"/>
    <cellStyle name="40% - Accent1 4 3 2" xfId="693" xr:uid="{55CCC0AC-EA02-4A2D-880F-848DEB547967}"/>
    <cellStyle name="40% - Accent1 4 4" xfId="577" xr:uid="{72B8286E-1EFD-402B-B68E-9A6F6D55F69F}"/>
    <cellStyle name="40% - Accent1 5" xfId="93" xr:uid="{30FC0E67-5C3C-49F3-99FF-C43C16145C1E}"/>
    <cellStyle name="40% - Accent1 5 2" xfId="446" xr:uid="{379675CE-A2CE-49F1-A7A1-785BFC30B549}"/>
    <cellStyle name="40% - Accent1 5 2 2" xfId="779" xr:uid="{3A6EDFF5-1B51-4841-B0CD-D0905ED5EF3E}"/>
    <cellStyle name="40% - Accent1 5 3" xfId="358" xr:uid="{576849EB-E3B3-4E6A-8B4C-EF9156AFF8B0}"/>
    <cellStyle name="40% - Accent1 5 3 2" xfId="694" xr:uid="{8FEE706C-2C9E-4E7E-91E3-AD6AB043FC00}"/>
    <cellStyle name="40% - Accent1 5 4" xfId="578" xr:uid="{080DCA61-E0FA-4CEA-B821-0677AFFF5207}"/>
    <cellStyle name="40% - Accent1 6" xfId="94" xr:uid="{46E87071-EB4A-4897-A7D0-AE52243CC525}"/>
    <cellStyle name="40% - Accent1 6 2" xfId="447" xr:uid="{E85F04DA-70B7-4DC1-A913-376CC2FCC57B}"/>
    <cellStyle name="40% - Accent1 6 2 2" xfId="780" xr:uid="{6DCEBF37-7BFE-45EE-9684-EC5BD00865D8}"/>
    <cellStyle name="40% - Accent1 6 3" xfId="359" xr:uid="{879DF783-5824-4CAE-B8B3-643A87E39031}"/>
    <cellStyle name="40% - Accent1 6 3 2" xfId="695" xr:uid="{62C22582-8031-4D16-A8F4-2D612870973D}"/>
    <cellStyle name="40% - Accent1 6 4" xfId="579" xr:uid="{1ECEFEDC-25FA-4BD6-9DAE-5D327A0902F2}"/>
    <cellStyle name="40% - Accent1 7" xfId="95" xr:uid="{275A9784-0824-410F-8521-657C7A0ACBAD}"/>
    <cellStyle name="40% - Accent1 7 2" xfId="448" xr:uid="{8B4BBB0D-2DDB-4EA3-820D-78F33D378D8D}"/>
    <cellStyle name="40% - Accent1 7 2 2" xfId="781" xr:uid="{277ED8A2-03D0-4131-B031-EC351897BB04}"/>
    <cellStyle name="40% - Accent1 7 3" xfId="360" xr:uid="{380361E2-E1D7-4D09-8EDC-8D016CD28B80}"/>
    <cellStyle name="40% - Accent1 7 3 2" xfId="696" xr:uid="{0D77585D-723E-434B-BCC8-E7823FF79EEC}"/>
    <cellStyle name="40% - Accent1 7 4" xfId="580" xr:uid="{58C03CBD-9962-40FC-BEDB-FC9E8B553887}"/>
    <cellStyle name="40% - Accent1 8" xfId="96" xr:uid="{FFABED61-69C9-4811-B347-E411F2710F40}"/>
    <cellStyle name="40% - Accent1 8 2" xfId="449" xr:uid="{B1649F96-2FDD-4EF7-801F-B5CFAD9631FE}"/>
    <cellStyle name="40% - Accent1 8 2 2" xfId="782" xr:uid="{912EA4F6-F0FC-4F97-8224-BC729025FCFF}"/>
    <cellStyle name="40% - Accent1 8 3" xfId="361" xr:uid="{E2811F2A-6C86-4AFF-A297-FB64944C74D3}"/>
    <cellStyle name="40% - Accent1 8 3 2" xfId="697" xr:uid="{1C67523B-1EDE-4EE1-87AC-A7FCF4C68077}"/>
    <cellStyle name="40% - Accent1 8 4" xfId="581" xr:uid="{61AAC488-EFDB-40F7-95DC-10110B5403A1}"/>
    <cellStyle name="40% - Accent1 9" xfId="504" xr:uid="{E8DBBC10-07D5-4580-A5AB-A224A22B4734}"/>
    <cellStyle name="40% - Accent1 9 2" xfId="629" xr:uid="{3A461209-5B14-4B24-8C27-D0C22A07D303}"/>
    <cellStyle name="40% - Accent2" xfId="23" builtinId="35" customBuiltin="1"/>
    <cellStyle name="40% - Accent2 2" xfId="508" xr:uid="{E5D7547B-49E6-4194-ACA5-7679AC3A4390}"/>
    <cellStyle name="40% - Accent2 2 2" xfId="631" xr:uid="{DFD67D32-AD81-4100-AE4F-238D4064CB2F}"/>
    <cellStyle name="40% - Accent2 3" xfId="531" xr:uid="{08D9A46B-73B8-4854-8470-97A99DF4128A}"/>
    <cellStyle name="40% - Accent3" xfId="26" builtinId="39" customBuiltin="1"/>
    <cellStyle name="40% - Accent3 10" xfId="533" xr:uid="{4E9C7358-606F-4ACB-AC94-4C86F515379D}"/>
    <cellStyle name="40% - Accent3 2" xfId="97" xr:uid="{D6FD5A95-ECA0-4946-B092-B479B9D30AFB}"/>
    <cellStyle name="40% - Accent3 2 2" xfId="450" xr:uid="{146945E0-AE23-4019-9DC8-BE2AA1C971AF}"/>
    <cellStyle name="40% - Accent3 2 2 2" xfId="783" xr:uid="{5A426A41-E4AF-42DD-A508-6F2C06756D7A}"/>
    <cellStyle name="40% - Accent3 2 3" xfId="362" xr:uid="{AD32C4DB-18F8-47CF-A087-700CA12DB6E6}"/>
    <cellStyle name="40% - Accent3 2 3 2" xfId="698" xr:uid="{CD4C7E48-3DEA-4B6C-9163-90082DB066C3}"/>
    <cellStyle name="40% - Accent3 2 4" xfId="582" xr:uid="{0D9E0912-3CBA-4D61-B15E-E7D2111C44B0}"/>
    <cellStyle name="40% - Accent3 3" xfId="98" xr:uid="{1B65B935-719F-4412-903D-C2419C2CB90C}"/>
    <cellStyle name="40% - Accent3 3 2" xfId="451" xr:uid="{908D6024-7088-4117-A37F-1FA0CBC876EA}"/>
    <cellStyle name="40% - Accent3 3 2 2" xfId="784" xr:uid="{639FCCBA-AEAA-4EF0-89B6-58A7BC456F67}"/>
    <cellStyle name="40% - Accent3 3 3" xfId="363" xr:uid="{2D2A0B1D-C035-40EA-A2D6-039E397356D4}"/>
    <cellStyle name="40% - Accent3 3 3 2" xfId="699" xr:uid="{F5146B65-C854-463F-A517-4273B09B9558}"/>
    <cellStyle name="40% - Accent3 3 4" xfId="583" xr:uid="{6DFCCEA0-4EC1-489E-87E3-0667BC028770}"/>
    <cellStyle name="40% - Accent3 4" xfId="99" xr:uid="{C8E887B3-8711-4664-BFD3-9124B8F90E07}"/>
    <cellStyle name="40% - Accent3 4 2" xfId="452" xr:uid="{9F29B545-04BA-4C69-9FFA-76CE1B398548}"/>
    <cellStyle name="40% - Accent3 4 2 2" xfId="785" xr:uid="{B142DE13-F4ED-486D-9D0D-919DA87919B9}"/>
    <cellStyle name="40% - Accent3 4 3" xfId="364" xr:uid="{E90E5A27-F2A9-4A77-AB98-23126FC92916}"/>
    <cellStyle name="40% - Accent3 4 3 2" xfId="700" xr:uid="{A949EBAA-2464-4601-8ABE-6091AEAEDAD1}"/>
    <cellStyle name="40% - Accent3 4 4" xfId="584" xr:uid="{012BFC8C-DC38-4134-9A67-155E3014BFE1}"/>
    <cellStyle name="40% - Accent3 5" xfId="100" xr:uid="{3B2D6744-961E-452D-8DED-A138045E3E56}"/>
    <cellStyle name="40% - Accent3 5 2" xfId="453" xr:uid="{4306F9EC-50DD-42D3-BC2E-206DE135BBBE}"/>
    <cellStyle name="40% - Accent3 5 2 2" xfId="786" xr:uid="{57991561-F4D4-4A39-9D4E-B4F9ED074E43}"/>
    <cellStyle name="40% - Accent3 5 3" xfId="365" xr:uid="{67A8F3F9-1A3D-4223-9409-D4E7E1B5647C}"/>
    <cellStyle name="40% - Accent3 5 3 2" xfId="701" xr:uid="{D414FFE5-E507-497E-8F80-7A4D9295726B}"/>
    <cellStyle name="40% - Accent3 5 4" xfId="585" xr:uid="{DEBB6736-5A18-4D01-B6E8-A2E5986A51B2}"/>
    <cellStyle name="40% - Accent3 6" xfId="101" xr:uid="{753F363C-52CB-43C4-9C7B-474B5661E935}"/>
    <cellStyle name="40% - Accent3 6 2" xfId="454" xr:uid="{FC399275-AAC0-433D-A809-E6194639B290}"/>
    <cellStyle name="40% - Accent3 6 2 2" xfId="787" xr:uid="{777FB4CD-8C3D-4084-BA77-A9808EE36A21}"/>
    <cellStyle name="40% - Accent3 6 3" xfId="366" xr:uid="{2461B836-47D5-4895-84C9-3D1EEA81D0D9}"/>
    <cellStyle name="40% - Accent3 6 3 2" xfId="702" xr:uid="{DFBDC4BB-FF3C-4941-81DD-68E734D079F7}"/>
    <cellStyle name="40% - Accent3 6 4" xfId="586" xr:uid="{110E5FE0-42A6-4A8C-8AD3-130AF6050F9E}"/>
    <cellStyle name="40% - Accent3 7" xfId="102" xr:uid="{AF060CCE-55D6-499C-891A-49ACAFCC2786}"/>
    <cellStyle name="40% - Accent3 7 2" xfId="455" xr:uid="{E39873DD-000E-4C2F-8ECA-1D0CD7B6C104}"/>
    <cellStyle name="40% - Accent3 7 2 2" xfId="788" xr:uid="{8A1C9949-E596-42DD-8F5E-AB18A765FBE3}"/>
    <cellStyle name="40% - Accent3 7 3" xfId="367" xr:uid="{3C80385D-4887-4BC6-8378-84FD629CE1A1}"/>
    <cellStyle name="40% - Accent3 7 3 2" xfId="703" xr:uid="{33365D28-5AE6-4E7E-9BB9-62D4017660EA}"/>
    <cellStyle name="40% - Accent3 7 4" xfId="587" xr:uid="{1EAB54DA-35A4-4081-B7CB-8734609340D9}"/>
    <cellStyle name="40% - Accent3 8" xfId="103" xr:uid="{4BC00673-B987-4DD6-828D-B56FED44F4A8}"/>
    <cellStyle name="40% - Accent3 8 2" xfId="456" xr:uid="{CE16F2A3-D54C-440E-AE30-A106B36A75F6}"/>
    <cellStyle name="40% - Accent3 8 2 2" xfId="789" xr:uid="{B3D1DDF2-703E-4C85-BE6B-206F6A59A658}"/>
    <cellStyle name="40% - Accent3 8 3" xfId="368" xr:uid="{397EAC41-2FCA-4628-B01A-418981A64B18}"/>
    <cellStyle name="40% - Accent3 8 3 2" xfId="704" xr:uid="{E40B708C-D471-482F-B526-02169FAD00DA}"/>
    <cellStyle name="40% - Accent3 8 4" xfId="588" xr:uid="{54D42B7D-C8C1-4083-BC3E-399C74868446}"/>
    <cellStyle name="40% - Accent3 9" xfId="512" xr:uid="{9033C224-0EC3-423F-B8B0-56B12222D191}"/>
    <cellStyle name="40% - Accent3 9 2" xfId="633" xr:uid="{1877BA20-33FE-494B-B95B-4E270F195030}"/>
    <cellStyle name="40% - Accent4" xfId="29" builtinId="43" customBuiltin="1"/>
    <cellStyle name="40% - Accent4 10" xfId="535" xr:uid="{AE62A945-71FD-4294-8E90-D2D6D13DEAF6}"/>
    <cellStyle name="40% - Accent4 2" xfId="104" xr:uid="{87ACF841-478C-4A6B-B80C-E47F7CFCACC0}"/>
    <cellStyle name="40% - Accent4 2 2" xfId="457" xr:uid="{4C90C288-2764-4644-A734-DDF7F2FC48EF}"/>
    <cellStyle name="40% - Accent4 2 2 2" xfId="790" xr:uid="{737B0F08-F89F-4AE5-9858-82B09645276E}"/>
    <cellStyle name="40% - Accent4 2 3" xfId="369" xr:uid="{7EC70488-D494-40A1-BB0D-D45F1649792F}"/>
    <cellStyle name="40% - Accent4 2 3 2" xfId="705" xr:uid="{DA716B68-C0B2-487D-A259-96A49D0ECDF9}"/>
    <cellStyle name="40% - Accent4 2 4" xfId="589" xr:uid="{3A931262-7E59-4BE3-816F-8544165F73B3}"/>
    <cellStyle name="40% - Accent4 3" xfId="105" xr:uid="{2CBB0BE9-E356-4C90-8871-85355EA72939}"/>
    <cellStyle name="40% - Accent4 3 2" xfId="458" xr:uid="{5A2549F0-4047-4F19-9B83-CEC04E275347}"/>
    <cellStyle name="40% - Accent4 3 2 2" xfId="791" xr:uid="{6075ED2F-3D7C-45A3-9D1C-852F6DDF2346}"/>
    <cellStyle name="40% - Accent4 3 3" xfId="370" xr:uid="{E559ED14-A4C2-4B14-85E9-67FDD0CEE280}"/>
    <cellStyle name="40% - Accent4 3 3 2" xfId="706" xr:uid="{804716AB-F127-41E8-AD16-FBED746D2CE0}"/>
    <cellStyle name="40% - Accent4 3 4" xfId="590" xr:uid="{0C2DADD6-B1D4-4DE5-BBC2-C95CCF8CC828}"/>
    <cellStyle name="40% - Accent4 4" xfId="106" xr:uid="{DD37DD87-C293-46AE-9120-088D974ABE79}"/>
    <cellStyle name="40% - Accent4 4 2" xfId="459" xr:uid="{0D3B6F81-F332-40E2-A1F5-35EED08BE0D9}"/>
    <cellStyle name="40% - Accent4 4 2 2" xfId="792" xr:uid="{1D4548FB-2EB4-4CBF-9D68-89611CE3FB54}"/>
    <cellStyle name="40% - Accent4 4 3" xfId="371" xr:uid="{1FCD4E96-B21E-4186-80AC-A76346AD4259}"/>
    <cellStyle name="40% - Accent4 4 3 2" xfId="707" xr:uid="{1D41870A-3E34-4DC0-923C-A484FAC81CE1}"/>
    <cellStyle name="40% - Accent4 4 4" xfId="591" xr:uid="{E6955228-3F89-422E-8C65-19A62C2CCC4D}"/>
    <cellStyle name="40% - Accent4 5" xfId="107" xr:uid="{AA042110-C1F2-4ADD-8F16-81E4043F1E4F}"/>
    <cellStyle name="40% - Accent4 5 2" xfId="460" xr:uid="{48A7A17B-B2BE-46B7-941B-2A9DE2EBA375}"/>
    <cellStyle name="40% - Accent4 5 2 2" xfId="793" xr:uid="{0D76D964-B7E3-4E7A-A19E-B99C25D1285B}"/>
    <cellStyle name="40% - Accent4 5 3" xfId="372" xr:uid="{238331D0-F357-48E9-827B-3726BD7A5C1F}"/>
    <cellStyle name="40% - Accent4 5 3 2" xfId="708" xr:uid="{DBBBD95F-1736-4545-975A-98E24B239A48}"/>
    <cellStyle name="40% - Accent4 5 4" xfId="592" xr:uid="{0428B819-3526-412B-8E3B-28951154ADFF}"/>
    <cellStyle name="40% - Accent4 6" xfId="108" xr:uid="{9F05F274-158B-4E03-BD56-5C3027C8886B}"/>
    <cellStyle name="40% - Accent4 6 2" xfId="461" xr:uid="{8DA230FD-F193-4B60-9908-5B41B22658FF}"/>
    <cellStyle name="40% - Accent4 6 2 2" xfId="794" xr:uid="{67D50E4D-EDBD-4815-A6ED-D4E243DF9DBF}"/>
    <cellStyle name="40% - Accent4 6 3" xfId="373" xr:uid="{2A8E1918-EEC6-4542-A93E-E4ACFBDB7DE6}"/>
    <cellStyle name="40% - Accent4 6 3 2" xfId="709" xr:uid="{A3362356-1091-4204-9985-9939A7FE5B2F}"/>
    <cellStyle name="40% - Accent4 6 4" xfId="593" xr:uid="{E6493E48-A375-49A4-B6F3-001F14B70A0E}"/>
    <cellStyle name="40% - Accent4 7" xfId="109" xr:uid="{6DDF14F7-F7EE-454F-9A1D-532D7002A85D}"/>
    <cellStyle name="40% - Accent4 7 2" xfId="462" xr:uid="{A3C83D9A-E65C-4168-90B5-76E929FFC824}"/>
    <cellStyle name="40% - Accent4 7 2 2" xfId="795" xr:uid="{91BA7D74-3015-4DBD-8EDA-64E756809D48}"/>
    <cellStyle name="40% - Accent4 7 3" xfId="374" xr:uid="{B9F9BE6F-397D-4226-A50A-6271EBBC99C6}"/>
    <cellStyle name="40% - Accent4 7 3 2" xfId="710" xr:uid="{2786E0AF-99C2-4F73-9FB1-8F988D05CBDC}"/>
    <cellStyle name="40% - Accent4 7 4" xfId="594" xr:uid="{DE9851F3-6F74-43E4-AD2A-D2BEF080ACF1}"/>
    <cellStyle name="40% - Accent4 8" xfId="110" xr:uid="{71BF57B6-1143-4D41-AAC8-11B53661D92C}"/>
    <cellStyle name="40% - Accent4 8 2" xfId="463" xr:uid="{BBABFE5C-C9CB-4E7D-993D-7D0563E3C93F}"/>
    <cellStyle name="40% - Accent4 8 2 2" xfId="796" xr:uid="{8CF82A17-4DF0-4557-93DC-D7C0156D34A4}"/>
    <cellStyle name="40% - Accent4 8 3" xfId="375" xr:uid="{67A99125-17BC-4C16-8630-81DCAD78B04E}"/>
    <cellStyle name="40% - Accent4 8 3 2" xfId="711" xr:uid="{36EACE85-1651-4058-AE84-C98102B2FF02}"/>
    <cellStyle name="40% - Accent4 8 4" xfId="595" xr:uid="{B1A25D8D-345E-4E2B-9EE6-1C765A3344E5}"/>
    <cellStyle name="40% - Accent4 9" xfId="516" xr:uid="{4E86C276-BC55-4432-96DB-2B5446846E74}"/>
    <cellStyle name="40% - Accent4 9 2" xfId="635" xr:uid="{4D93CFD7-F0D0-480B-A45C-A47792CB35A2}"/>
    <cellStyle name="40% - Accent5" xfId="32" builtinId="47" customBuiltin="1"/>
    <cellStyle name="40% - Accent5 10" xfId="537" xr:uid="{EB8CFCCC-FA87-4088-86D8-C5FE3928BEF4}"/>
    <cellStyle name="40% - Accent5 2" xfId="111" xr:uid="{63728235-6F67-4589-B035-D1D40E8959C2}"/>
    <cellStyle name="40% - Accent5 2 2" xfId="464" xr:uid="{6F56C8A9-3F1A-4288-AEC4-1D683382C607}"/>
    <cellStyle name="40% - Accent5 2 2 2" xfId="797" xr:uid="{5136BE56-646F-4A2D-8841-84AA1DEE6DEB}"/>
    <cellStyle name="40% - Accent5 2 3" xfId="376" xr:uid="{643AA05F-BDEE-4469-A170-817AA36EF282}"/>
    <cellStyle name="40% - Accent5 2 3 2" xfId="712" xr:uid="{10AB00C5-032C-4882-9160-E408A95032FA}"/>
    <cellStyle name="40% - Accent5 2 4" xfId="596" xr:uid="{F3D70477-8298-4E35-99E8-36122A0F46B6}"/>
    <cellStyle name="40% - Accent5 3" xfId="112" xr:uid="{14C44943-E896-4EBC-B11A-147347FCF735}"/>
    <cellStyle name="40% - Accent5 3 2" xfId="465" xr:uid="{608B028A-CD60-4390-9356-F5213BB903BD}"/>
    <cellStyle name="40% - Accent5 3 2 2" xfId="798" xr:uid="{A9627B1A-C325-453F-B0AF-F848559B5271}"/>
    <cellStyle name="40% - Accent5 3 3" xfId="377" xr:uid="{CD615179-AAF1-4099-AEB5-5A3ECE799DE5}"/>
    <cellStyle name="40% - Accent5 3 3 2" xfId="713" xr:uid="{1C200933-399C-4ED0-8840-CFBF09B2F39A}"/>
    <cellStyle name="40% - Accent5 3 4" xfId="597" xr:uid="{D255EB3F-8334-468C-AE17-59608C632BFB}"/>
    <cellStyle name="40% - Accent5 4" xfId="113" xr:uid="{3712C0CC-9004-4A00-8C13-8A0C5B22ED24}"/>
    <cellStyle name="40% - Accent5 4 2" xfId="466" xr:uid="{E1CB13EE-B054-4E86-BDAA-4CA7E8645649}"/>
    <cellStyle name="40% - Accent5 4 2 2" xfId="799" xr:uid="{3EC826F2-F37A-44A4-980E-D60E3663754C}"/>
    <cellStyle name="40% - Accent5 4 3" xfId="378" xr:uid="{2C800D82-37EB-43A3-A477-2DEC3843A801}"/>
    <cellStyle name="40% - Accent5 4 3 2" xfId="714" xr:uid="{3FB6627E-D16A-4CAD-94A9-F8EA8406B170}"/>
    <cellStyle name="40% - Accent5 4 4" xfId="598" xr:uid="{40B4D63E-1D75-43C0-8CD3-D36046D70F9C}"/>
    <cellStyle name="40% - Accent5 5" xfId="114" xr:uid="{0D3EC9CE-9F21-4780-AD6D-8B2037EC35D3}"/>
    <cellStyle name="40% - Accent5 5 2" xfId="467" xr:uid="{93489262-3F60-460E-93BD-D701C2D0D95E}"/>
    <cellStyle name="40% - Accent5 5 2 2" xfId="800" xr:uid="{EF76BBB9-44A6-4404-BF3A-F9451ECA4BC0}"/>
    <cellStyle name="40% - Accent5 5 3" xfId="379" xr:uid="{54E8755A-3DB6-4AED-BC27-9FAE61076912}"/>
    <cellStyle name="40% - Accent5 5 3 2" xfId="715" xr:uid="{0E015225-5639-4468-B905-97EEE95A1F40}"/>
    <cellStyle name="40% - Accent5 5 4" xfId="599" xr:uid="{2EF29129-9502-4CD1-8393-780DE9D88CB7}"/>
    <cellStyle name="40% - Accent5 6" xfId="115" xr:uid="{FDE339F8-E78E-47EF-865E-618C3D7C41EA}"/>
    <cellStyle name="40% - Accent5 6 2" xfId="468" xr:uid="{86878B86-F1E6-4006-B03C-CDC7B9F3641E}"/>
    <cellStyle name="40% - Accent5 6 2 2" xfId="801" xr:uid="{666C9F47-47B4-44AF-86D0-12373E50A752}"/>
    <cellStyle name="40% - Accent5 6 3" xfId="380" xr:uid="{ABE3D1CE-CCE8-4DEA-B3E2-E9B2EE6FB6EE}"/>
    <cellStyle name="40% - Accent5 6 3 2" xfId="716" xr:uid="{9DA7F623-2EA9-497C-90D7-7B2CED5FA217}"/>
    <cellStyle name="40% - Accent5 6 4" xfId="600" xr:uid="{7C180406-11DE-4451-B36B-A024DE5BBD10}"/>
    <cellStyle name="40% - Accent5 7" xfId="116" xr:uid="{E389C978-7CB0-4BE9-A678-34D0B7226A73}"/>
    <cellStyle name="40% - Accent5 7 2" xfId="469" xr:uid="{2389D7CA-845E-4888-8CC5-4DC1ACE327DA}"/>
    <cellStyle name="40% - Accent5 7 2 2" xfId="802" xr:uid="{B43638EE-E735-489A-ACA3-E4E1E5E1B2ED}"/>
    <cellStyle name="40% - Accent5 7 3" xfId="381" xr:uid="{594D7E89-854A-4CA2-BCD0-157B5ED39C05}"/>
    <cellStyle name="40% - Accent5 7 3 2" xfId="717" xr:uid="{26B7AF1D-51CA-40BC-82A7-5E296504111D}"/>
    <cellStyle name="40% - Accent5 7 4" xfId="601" xr:uid="{8C4A8F32-B083-42BF-938E-9A026A54C811}"/>
    <cellStyle name="40% - Accent5 8" xfId="117" xr:uid="{4838376C-0820-4157-8E8E-BAC58DD8A047}"/>
    <cellStyle name="40% - Accent5 8 2" xfId="470" xr:uid="{464CFDAB-282A-472F-AE14-F8A50DF653F1}"/>
    <cellStyle name="40% - Accent5 8 2 2" xfId="803" xr:uid="{2AD36316-1F3D-4616-86EE-FFB1D9A27FC1}"/>
    <cellStyle name="40% - Accent5 8 3" xfId="382" xr:uid="{2BCA9B59-6AE4-4A04-A733-06CA90D4F7BD}"/>
    <cellStyle name="40% - Accent5 8 3 2" xfId="718" xr:uid="{3476659F-5DF9-49B3-956D-AD54A415721C}"/>
    <cellStyle name="40% - Accent5 8 4" xfId="602" xr:uid="{A8018ABF-5F52-4338-A6EB-D6448231791A}"/>
    <cellStyle name="40% - Accent5 9" xfId="520" xr:uid="{7EE5F39B-BF42-4329-83B7-918F0B07F08C}"/>
    <cellStyle name="40% - Accent5 9 2" xfId="637" xr:uid="{BDEEBC95-16B7-4258-8426-88B261F44C24}"/>
    <cellStyle name="40% - Accent6" xfId="35" builtinId="51" customBuiltin="1"/>
    <cellStyle name="40% - Accent6 10" xfId="539" xr:uid="{34B8779D-D2BD-4BB8-B42C-0302499C055E}"/>
    <cellStyle name="40% - Accent6 2" xfId="118" xr:uid="{9FD498ED-5EC6-4CD3-B293-3FD8F1ED798C}"/>
    <cellStyle name="40% - Accent6 2 2" xfId="471" xr:uid="{2E97B7A5-BC6A-413A-9D5A-6E5DFE7B906E}"/>
    <cellStyle name="40% - Accent6 2 2 2" xfId="804" xr:uid="{CAD3D0C4-4849-43C2-A3AC-50200D537614}"/>
    <cellStyle name="40% - Accent6 2 3" xfId="383" xr:uid="{37A2271D-9F69-4243-B75D-3144279B7A56}"/>
    <cellStyle name="40% - Accent6 2 3 2" xfId="719" xr:uid="{1E37A101-56AA-47FB-89EA-3C7D3BF2B9F9}"/>
    <cellStyle name="40% - Accent6 2 4" xfId="603" xr:uid="{0D0032AE-8053-44C4-8850-82AAA8F8E772}"/>
    <cellStyle name="40% - Accent6 3" xfId="119" xr:uid="{D4CB3289-8216-4EB1-8B67-37F11DFAA082}"/>
    <cellStyle name="40% - Accent6 3 2" xfId="472" xr:uid="{16A900FC-0538-48E4-90AB-CDF3A6F9DA2B}"/>
    <cellStyle name="40% - Accent6 3 2 2" xfId="805" xr:uid="{CC813FB4-7C92-44D8-B34B-B1C80190DE30}"/>
    <cellStyle name="40% - Accent6 3 3" xfId="384" xr:uid="{1A8AAF36-FFEC-4E01-A0EE-C0FB81576277}"/>
    <cellStyle name="40% - Accent6 3 3 2" xfId="720" xr:uid="{FB2DCFCD-3A98-491C-B67B-A629778AF18B}"/>
    <cellStyle name="40% - Accent6 3 4" xfId="604" xr:uid="{93B65E21-9A32-4208-95F9-95410FB6DD74}"/>
    <cellStyle name="40% - Accent6 4" xfId="120" xr:uid="{0727F478-CACE-4A98-BF07-C2F09982F2CF}"/>
    <cellStyle name="40% - Accent6 4 2" xfId="473" xr:uid="{39AF7188-5A06-4932-B856-55754CC39725}"/>
    <cellStyle name="40% - Accent6 4 2 2" xfId="806" xr:uid="{C3828489-AFAD-4419-AD69-1CC7752699AF}"/>
    <cellStyle name="40% - Accent6 4 3" xfId="385" xr:uid="{F9E3ECCC-85A1-4302-9271-BF5245079D26}"/>
    <cellStyle name="40% - Accent6 4 3 2" xfId="721" xr:uid="{C77DA664-4FFB-4FE0-853F-79E43342A975}"/>
    <cellStyle name="40% - Accent6 4 4" xfId="605" xr:uid="{5255D153-A399-4963-AA9D-0D8DDF69F81C}"/>
    <cellStyle name="40% - Accent6 5" xfId="121" xr:uid="{C2A95BD3-B5F6-471F-872C-E8A4FC84F3A1}"/>
    <cellStyle name="40% - Accent6 5 2" xfId="474" xr:uid="{57BFEA12-31F8-43FE-A30B-331FC632138D}"/>
    <cellStyle name="40% - Accent6 5 2 2" xfId="807" xr:uid="{6CA28964-1856-4062-9C3E-B97952BC0571}"/>
    <cellStyle name="40% - Accent6 5 3" xfId="386" xr:uid="{FED4B0CE-5702-4101-9A32-32A96B7B503A}"/>
    <cellStyle name="40% - Accent6 5 3 2" xfId="722" xr:uid="{D01B6C78-955C-47D3-8A56-A8C9BD526436}"/>
    <cellStyle name="40% - Accent6 5 4" xfId="606" xr:uid="{C399BEBC-0C0D-48D4-A5E8-0DC7C297D992}"/>
    <cellStyle name="40% - Accent6 6" xfId="122" xr:uid="{B6C9210B-C982-4364-9E3B-803EE32343E1}"/>
    <cellStyle name="40% - Accent6 6 2" xfId="475" xr:uid="{1EF3E4AD-B6E7-4AED-A27F-B42FF3E4FE8C}"/>
    <cellStyle name="40% - Accent6 6 2 2" xfId="808" xr:uid="{CCD272A7-27E6-42C9-B705-4A87FB29B01C}"/>
    <cellStyle name="40% - Accent6 6 3" xfId="387" xr:uid="{FCE8B93B-09FB-47C3-9DA8-A0AB9DEB08E1}"/>
    <cellStyle name="40% - Accent6 6 3 2" xfId="723" xr:uid="{ED72D5DD-1846-4D65-AF8B-9B0466C0516C}"/>
    <cellStyle name="40% - Accent6 6 4" xfId="607" xr:uid="{7F9CC0F2-34F2-4B16-8C52-CA814070A156}"/>
    <cellStyle name="40% - Accent6 7" xfId="123" xr:uid="{E9CDCA69-513D-4AD0-B664-7B64FB28EB33}"/>
    <cellStyle name="40% - Accent6 7 2" xfId="476" xr:uid="{9AB95676-15A7-488D-B333-DA0BAA669B11}"/>
    <cellStyle name="40% - Accent6 7 2 2" xfId="809" xr:uid="{4FD8B2B6-ACD0-4E86-911A-377600E5D79C}"/>
    <cellStyle name="40% - Accent6 7 3" xfId="388" xr:uid="{8A48D961-B11A-4D94-BF91-F5FE7704C896}"/>
    <cellStyle name="40% - Accent6 7 3 2" xfId="724" xr:uid="{712F8B64-C6CD-429A-886E-AB209BA071F2}"/>
    <cellStyle name="40% - Accent6 7 4" xfId="608" xr:uid="{9232AD09-498C-4F1C-9903-2C31887B100D}"/>
    <cellStyle name="40% - Accent6 8" xfId="124" xr:uid="{9E141891-DC59-498A-9E6C-A2239FC50C44}"/>
    <cellStyle name="40% - Accent6 8 2" xfId="477" xr:uid="{545D0CA6-7703-4420-863C-E3917E3A1F1D}"/>
    <cellStyle name="40% - Accent6 8 2 2" xfId="810" xr:uid="{23F11AF1-B5E3-4176-B24E-59DC6FCFD793}"/>
    <cellStyle name="40% - Accent6 8 3" xfId="389" xr:uid="{A66AD6A9-B819-4093-89E9-98F4BB0ACA5F}"/>
    <cellStyle name="40% - Accent6 8 3 2" xfId="725" xr:uid="{52F64277-5AF3-4CC2-B347-2F971C7B320D}"/>
    <cellStyle name="40% - Accent6 8 4" xfId="609" xr:uid="{C0A904B5-542B-43A7-AC80-972D75E29A1E}"/>
    <cellStyle name="40% - Accent6 9" xfId="524" xr:uid="{71C48E5A-677A-497D-811D-9E60AD21C636}"/>
    <cellStyle name="40% - Accent6 9 2" xfId="639" xr:uid="{DB64929C-E372-4118-9D65-6E0B5F3FE723}"/>
    <cellStyle name="60% - Accent1 10" xfId="312" xr:uid="{E54F5698-A482-4B86-B5D9-C26904B2748C}"/>
    <cellStyle name="60% - Accent1 2" xfId="125" xr:uid="{F353D44C-F325-4DEE-8758-3EC47B867421}"/>
    <cellStyle name="60% - Accent1 3" xfId="126" xr:uid="{45E53A3F-08CC-458C-A985-7F3774306693}"/>
    <cellStyle name="60% - Accent1 4" xfId="127" xr:uid="{23E9DC35-64BA-4632-9768-1C46FF203110}"/>
    <cellStyle name="60% - Accent1 5" xfId="128" xr:uid="{BB063173-1465-4A9F-AE2B-ED8F20BC0548}"/>
    <cellStyle name="60% - Accent1 6" xfId="129" xr:uid="{D80419BA-471D-4A42-8C43-6EDB0C559CB8}"/>
    <cellStyle name="60% - Accent1 7" xfId="130" xr:uid="{0A650708-A879-46F4-83B7-32BF1F4854C8}"/>
    <cellStyle name="60% - Accent1 8" xfId="131" xr:uid="{40C0C2C9-7AEF-4077-9243-DB560157802D}"/>
    <cellStyle name="60% - Accent1 9" xfId="505" xr:uid="{58EC88C0-38B8-4707-8799-F19BA043DF26}"/>
    <cellStyle name="60% - Accent2 10" xfId="313" xr:uid="{2843CFCA-DEC1-48F2-B9E3-26719B42D737}"/>
    <cellStyle name="60% - Accent2 2" xfId="132" xr:uid="{18FA8FF7-A51F-4001-9CFB-4B535D763528}"/>
    <cellStyle name="60% - Accent2 3" xfId="133" xr:uid="{9490D102-7764-4FD4-9CD4-FBC05C3CBA79}"/>
    <cellStyle name="60% - Accent2 4" xfId="134" xr:uid="{B5BBDAA0-5679-4672-BE81-05F8DF4EFD4E}"/>
    <cellStyle name="60% - Accent2 5" xfId="135" xr:uid="{A8B9E2BC-4EDC-4AC9-A48D-07D629B1781B}"/>
    <cellStyle name="60% - Accent2 6" xfId="136" xr:uid="{D4E27FD3-DC34-4DA7-A964-9D18AEF1CF77}"/>
    <cellStyle name="60% - Accent2 7" xfId="137" xr:uid="{9698CB2E-9111-466A-8443-9D57A1C3DE1D}"/>
    <cellStyle name="60% - Accent2 8" xfId="138" xr:uid="{43863DC5-DFDE-47B6-AFCE-FC9CEB3AA812}"/>
    <cellStyle name="60% - Accent2 9" xfId="509" xr:uid="{15CAE92F-AA48-4BE6-9703-44F74880BFDB}"/>
    <cellStyle name="60% - Accent3 10" xfId="314" xr:uid="{05BDC35E-FAAF-4659-BB09-FCAD75BFA66F}"/>
    <cellStyle name="60% - Accent3 2" xfId="139" xr:uid="{AFD85BD9-1D35-414A-99ED-99321DD938B3}"/>
    <cellStyle name="60% - Accent3 3" xfId="140" xr:uid="{897F5851-691A-4609-B66E-E280CD685CE7}"/>
    <cellStyle name="60% - Accent3 4" xfId="141" xr:uid="{66E4F1DF-A507-4463-8895-C13E975D721A}"/>
    <cellStyle name="60% - Accent3 5" xfId="142" xr:uid="{043CBB5A-B789-4E7B-B603-6108A3756FFD}"/>
    <cellStyle name="60% - Accent3 6" xfId="143" xr:uid="{4447325A-76D4-4508-AFF6-3B1A9C9E5616}"/>
    <cellStyle name="60% - Accent3 7" xfId="144" xr:uid="{0A2244A1-B8B1-4119-BB17-ADC4DC87B38A}"/>
    <cellStyle name="60% - Accent3 8" xfId="145" xr:uid="{9256B4DD-1459-4558-A420-B311A89945DA}"/>
    <cellStyle name="60% - Accent3 9" xfId="513" xr:uid="{76CDEA48-8074-4D38-93A7-87CD9980A358}"/>
    <cellStyle name="60% - Accent4 10" xfId="315" xr:uid="{EFD13082-C439-436A-869B-EAC74C46F4B1}"/>
    <cellStyle name="60% - Accent4 2" xfId="146" xr:uid="{DC90F17B-53F2-4E14-8DBE-230BA767644C}"/>
    <cellStyle name="60% - Accent4 3" xfId="147" xr:uid="{96E35ACE-3960-4A0D-B143-A2046A23F726}"/>
    <cellStyle name="60% - Accent4 4" xfId="148" xr:uid="{965B3203-C30D-4479-A72D-38851E35E656}"/>
    <cellStyle name="60% - Accent4 5" xfId="149" xr:uid="{D3228680-8472-4AC1-B75A-5CFDE927D08A}"/>
    <cellStyle name="60% - Accent4 6" xfId="150" xr:uid="{F171149B-BC08-4F41-A9E7-AC056B0D0403}"/>
    <cellStyle name="60% - Accent4 7" xfId="151" xr:uid="{963A246B-8998-4457-B5BE-43FFBA8AF067}"/>
    <cellStyle name="60% - Accent4 8" xfId="152" xr:uid="{E72B9BCC-88A1-47BA-A641-EEBD78D352D5}"/>
    <cellStyle name="60% - Accent4 9" xfId="517" xr:uid="{1B2E59B6-BF48-4BF3-854E-2E80A49382CA}"/>
    <cellStyle name="60% - Accent5 10" xfId="316" xr:uid="{4ED7756B-9EFB-4950-B509-0C3E9CD749CC}"/>
    <cellStyle name="60% - Accent5 2" xfId="153" xr:uid="{D1A90A2F-D452-40F5-98BC-52E9C3036254}"/>
    <cellStyle name="60% - Accent5 3" xfId="154" xr:uid="{1F150E8A-070E-435B-8632-704B3BE9C5F0}"/>
    <cellStyle name="60% - Accent5 4" xfId="155" xr:uid="{7CF9AE6B-5901-4D75-B9F6-4000FDF7995E}"/>
    <cellStyle name="60% - Accent5 5" xfId="156" xr:uid="{42679CC8-3618-4DE6-A896-E7E814769102}"/>
    <cellStyle name="60% - Accent5 6" xfId="157" xr:uid="{410F2422-0A60-4FDE-818A-BBEAC1DE164B}"/>
    <cellStyle name="60% - Accent5 7" xfId="158" xr:uid="{4F093039-177F-41F7-80C2-EC174995A3EF}"/>
    <cellStyle name="60% - Accent5 8" xfId="159" xr:uid="{531DC6AB-FD67-49BF-A085-605C889131F3}"/>
    <cellStyle name="60% - Accent5 9" xfId="521" xr:uid="{4000DF14-86AB-4AE8-A00C-DFFEC8E0B0C1}"/>
    <cellStyle name="60% - Accent6 10" xfId="317" xr:uid="{EC4A8ADD-4C06-488A-A119-BBD0F4A18734}"/>
    <cellStyle name="60% - Accent6 2" xfId="160" xr:uid="{FDE8E727-3583-4D00-B2B6-8EF06099EFD0}"/>
    <cellStyle name="60% - Accent6 3" xfId="161" xr:uid="{11E29911-7A36-41C9-BB3A-AF42F6A5BB72}"/>
    <cellStyle name="60% - Accent6 4" xfId="162" xr:uid="{63176953-4FB1-4A5A-B464-79F28A5E6232}"/>
    <cellStyle name="60% - Accent6 5" xfId="163" xr:uid="{9FE59827-C18D-4640-89BA-AC9913734DF1}"/>
    <cellStyle name="60% - Accent6 6" xfId="164" xr:uid="{EBECF4AA-9A96-4820-90CA-F13E821A38DF}"/>
    <cellStyle name="60% - Accent6 7" xfId="165" xr:uid="{B0DCCCF2-ED7F-4944-BDD5-0065AA06E5F9}"/>
    <cellStyle name="60% - Accent6 8" xfId="166" xr:uid="{7FFF0F85-DD12-48D7-91A7-F1ED4BBAA705}"/>
    <cellStyle name="60% - Accent6 9" xfId="525" xr:uid="{C78A9131-64BF-4184-847B-D5BBA2EA0C42}"/>
    <cellStyle name="Accent1" xfId="18" builtinId="29" customBuiltin="1"/>
    <cellStyle name="Accent1 2" xfId="167" xr:uid="{02FCD3E5-1633-4230-8517-358E2FC93E9A}"/>
    <cellStyle name="Accent1 3" xfId="168" xr:uid="{8E1563DC-A729-467F-96E9-26B39B32B95E}"/>
    <cellStyle name="Accent1 4" xfId="169" xr:uid="{61C959EF-F77F-42C8-B347-0B12EDE0284D}"/>
    <cellStyle name="Accent1 5" xfId="170" xr:uid="{89B11D03-C270-481B-AFFA-FAE27935BFB0}"/>
    <cellStyle name="Accent1 6" xfId="171" xr:uid="{D67A4CD3-3FD5-4B00-9E59-49B04D48CCF9}"/>
    <cellStyle name="Accent1 7" xfId="172" xr:uid="{09902E59-E5D5-407D-A6DF-22C54996A224}"/>
    <cellStyle name="Accent1 8" xfId="173" xr:uid="{A6CFA80B-4F5C-421F-8BCC-69F61988F235}"/>
    <cellStyle name="Accent1 9" xfId="502" xr:uid="{8989B8DE-B55F-48D9-B94B-DFBE81FEB278}"/>
    <cellStyle name="Accent2" xfId="21" builtinId="33" customBuiltin="1"/>
    <cellStyle name="Accent2 2" xfId="174" xr:uid="{D229F692-CC16-41CD-A832-8D455F108B30}"/>
    <cellStyle name="Accent2 3" xfId="175" xr:uid="{4F5A6CB0-3390-49A7-847F-7D70CE16BC4E}"/>
    <cellStyle name="Accent2 4" xfId="176" xr:uid="{6F8A890D-0115-4C6F-BE13-94A67AD19E18}"/>
    <cellStyle name="Accent2 5" xfId="177" xr:uid="{2BAE383D-9036-43B7-A732-1269AE135BCE}"/>
    <cellStyle name="Accent2 6" xfId="178" xr:uid="{C9708994-726E-4BF9-B17B-B3221FC1C1D5}"/>
    <cellStyle name="Accent2 7" xfId="179" xr:uid="{18F7DF9C-740A-4806-9BFB-9E185A3E1E75}"/>
    <cellStyle name="Accent2 8" xfId="180" xr:uid="{F8847B93-D264-412E-B675-820D7F0BCE79}"/>
    <cellStyle name="Accent2 9" xfId="506" xr:uid="{F1465C6F-034F-4634-A7BE-AD46D739639D}"/>
    <cellStyle name="Accent3" xfId="24" builtinId="37" customBuiltin="1"/>
    <cellStyle name="Accent3 2" xfId="181" xr:uid="{FF2A2288-A1C0-4DE1-899C-AC97637D46E0}"/>
    <cellStyle name="Accent3 3" xfId="182" xr:uid="{1FD9F1E1-3BC1-40F0-A1AF-18D5A2FDCB3D}"/>
    <cellStyle name="Accent3 4" xfId="183" xr:uid="{A5A50CD4-1CD3-45CF-AF35-E5FAAEC91DDC}"/>
    <cellStyle name="Accent3 5" xfId="184" xr:uid="{65605747-348A-43E8-9A17-1B195E9D7BD8}"/>
    <cellStyle name="Accent3 6" xfId="185" xr:uid="{F4731CE7-ACF1-4258-8544-5C6BA8773B48}"/>
    <cellStyle name="Accent3 7" xfId="186" xr:uid="{C0E6B91B-21DC-4967-B670-28523F4E8B25}"/>
    <cellStyle name="Accent3 8" xfId="187" xr:uid="{3C517D08-7746-4F16-8D0A-BE0657A7DADD}"/>
    <cellStyle name="Accent3 9" xfId="510" xr:uid="{A2A8A60C-F989-434F-AC21-F6B2FD8C1456}"/>
    <cellStyle name="Accent4" xfId="27" builtinId="41" customBuiltin="1"/>
    <cellStyle name="Accent4 2" xfId="188" xr:uid="{5E953A08-406F-4AB1-B258-2E08D93D36DD}"/>
    <cellStyle name="Accent4 3" xfId="189" xr:uid="{885CDF7E-A508-4863-BF75-5180B8AE0338}"/>
    <cellStyle name="Accent4 4" xfId="190" xr:uid="{343233C1-C646-4016-A0E8-F84FF99C4D6C}"/>
    <cellStyle name="Accent4 5" xfId="191" xr:uid="{7FEDA56E-35AB-4D40-B267-107BF43CCD2A}"/>
    <cellStyle name="Accent4 6" xfId="192" xr:uid="{B1B6D319-AE8E-4491-8063-AA11DF80F074}"/>
    <cellStyle name="Accent4 7" xfId="193" xr:uid="{099C077A-BCC4-4A87-B845-464E9F135E19}"/>
    <cellStyle name="Accent4 8" xfId="194" xr:uid="{7C7E8299-EB8D-45F4-9075-C3D2499077D6}"/>
    <cellStyle name="Accent4 9" xfId="514" xr:uid="{A6718D70-5C95-4EAC-9698-376DB4145181}"/>
    <cellStyle name="Accent5" xfId="30" builtinId="45" customBuiltin="1"/>
    <cellStyle name="Accent5 2" xfId="518" xr:uid="{DC6CFC88-A982-4DED-A8B4-47A17CC11363}"/>
    <cellStyle name="Accent6" xfId="33" builtinId="49" customBuiltin="1"/>
    <cellStyle name="Accent6 2" xfId="195" xr:uid="{B3822BBE-0DAB-49A9-A649-5B147F732FB7}"/>
    <cellStyle name="Accent6 3" xfId="196" xr:uid="{56625F64-C61F-4D3C-8332-6D6D1BF80045}"/>
    <cellStyle name="Accent6 4" xfId="197" xr:uid="{112E2A76-A779-4A16-8967-40586F662C34}"/>
    <cellStyle name="Accent6 5" xfId="198" xr:uid="{79EC34E3-D33E-44ED-93EE-3598F43C9657}"/>
    <cellStyle name="Accent6 6" xfId="199" xr:uid="{FB33E5E9-A2D1-4156-95A9-7B50B8C1DDE4}"/>
    <cellStyle name="Accent6 7" xfId="200" xr:uid="{4694192C-060A-446F-B418-18CFDA57A733}"/>
    <cellStyle name="Accent6 8" xfId="201" xr:uid="{1AC98B0A-27EC-49F6-8857-F67CD2BE7F5C}"/>
    <cellStyle name="Accent6 9" xfId="522" xr:uid="{1651B8C0-9B97-4165-AEC7-D026EFBCAD6C}"/>
    <cellStyle name="Bad" xfId="9" builtinId="27" customBuiltin="1"/>
    <cellStyle name="Bad 2" xfId="202" xr:uid="{A9EB30F5-ADA7-4642-84BC-41394324E3CD}"/>
    <cellStyle name="Bad 3" xfId="203" xr:uid="{93EBC2DF-7199-422F-9871-3E5A3F0A6E62}"/>
    <cellStyle name="Bad 4" xfId="204" xr:uid="{FC600D3B-C732-49A2-93A0-390A169795A3}"/>
    <cellStyle name="Bad 5" xfId="205" xr:uid="{8EEA7796-4E52-43BC-8462-CEA93D624BF0}"/>
    <cellStyle name="Bad 6" xfId="206" xr:uid="{E5131768-7186-46B0-AE29-7B76BA610398}"/>
    <cellStyle name="Bad 7" xfId="207" xr:uid="{55CE26A6-FD88-4AA6-B5C8-24DCC3D65D7D}"/>
    <cellStyle name="Bad 8" xfId="208" xr:uid="{E4A2A8C7-D1D2-4264-A269-B79C2A9F6820}"/>
    <cellStyle name="Bad 9" xfId="492" xr:uid="{B81562C2-BCBB-4B19-AD0A-FF2DF4D9A859}"/>
    <cellStyle name="Calculation" xfId="12" builtinId="22" customBuiltin="1"/>
    <cellStyle name="Calculation 2" xfId="209" xr:uid="{F5E97723-A55D-4EDD-B180-14E49A67C921}"/>
    <cellStyle name="Calculation 3" xfId="210" xr:uid="{A1596BEF-0F43-44A1-A951-56CF102E4BD6}"/>
    <cellStyle name="Calculation 4" xfId="211" xr:uid="{A0E27F4B-F5C8-43C8-BD37-212A53C28600}"/>
    <cellStyle name="Calculation 5" xfId="212" xr:uid="{541F93F4-6B83-48AA-AB0A-F52119ACFA21}"/>
    <cellStyle name="Calculation 6" xfId="213" xr:uid="{A6A400C0-FB5E-4E92-AD51-918C768B3898}"/>
    <cellStyle name="Calculation 7" xfId="214" xr:uid="{320B396D-E92C-4928-A2D0-B087D9F87D68}"/>
    <cellStyle name="Calculation 8" xfId="215" xr:uid="{388A49B7-7FEC-416D-B572-5A3B3D0203C3}"/>
    <cellStyle name="Calculation 9" xfId="496" xr:uid="{1A968347-F926-4DE7-99B7-2EECF051809D}"/>
    <cellStyle name="Check Cell" xfId="14" builtinId="23" customBuiltin="1"/>
    <cellStyle name="Check Cell 2" xfId="498" xr:uid="{A3401FC3-2F34-40BA-98DA-C5DE186BD955}"/>
    <cellStyle name="Comma 2" xfId="39" xr:uid="{9CDDE43B-421F-44F2-B1F7-AC67CDECFDAF}"/>
    <cellStyle name="Comma 2 2" xfId="643" xr:uid="{613F582E-456B-4623-ACF8-1E5740497D31}"/>
    <cellStyle name="Comma 2 3" xfId="620" xr:uid="{CA744263-72DD-4808-B194-4C0D61226B16}"/>
    <cellStyle name="Comma 3" xfId="621" xr:uid="{D525B57B-49B2-4C1D-BDC4-05F0BC8D6021}"/>
    <cellStyle name="Currency" xfId="819" builtinId="4"/>
    <cellStyle name="Currency 2" xfId="40" xr:uid="{C1908685-87D7-4BFC-871A-35880CEFBFDD}"/>
    <cellStyle name="Currency 2 2" xfId="622" xr:uid="{82303FB9-2A0C-43C2-BE9D-8CE3DBDEFBD9}"/>
    <cellStyle name="Currency 2 3" xfId="644" xr:uid="{9931B67C-9890-4A7E-B2BB-F016654A98C9}"/>
    <cellStyle name="Currency 2 4" xfId="617" xr:uid="{E35F8A7B-97B5-4845-9461-99AF54C66A93}"/>
    <cellStyle name="Currency 3" xfId="42" xr:uid="{FBFA1434-B4DB-4A55-A876-627D872C9297}"/>
    <cellStyle name="Currency 3 2" xfId="400" xr:uid="{A5505A5A-4653-4621-9B28-1CD86916B826}"/>
    <cellStyle name="Currency 3 2 2" xfId="735" xr:uid="{C12D8D90-04F7-4469-82CA-538F7E301F5D}"/>
    <cellStyle name="Currency 3 3" xfId="653" xr:uid="{023E2218-6AE0-434D-8735-0E62675CD518}"/>
    <cellStyle name="Currency 4" xfId="397" xr:uid="{CDA787EF-F10A-4E40-AB86-83A0BA29AE84}"/>
    <cellStyle name="Currency 5" xfId="640" xr:uid="{D8234561-0DB3-48BE-AB31-49BF210A8AD0}"/>
    <cellStyle name="Currency 6" xfId="37" xr:uid="{05C6984A-DA5F-4880-BA7E-A1BEA96D01D1}"/>
    <cellStyle name="Explanatory Text" xfId="16" builtinId="53" customBuiltin="1"/>
    <cellStyle name="Explanatory Text 2" xfId="500" xr:uid="{3B7782C7-36BC-4647-91F0-386BF7159F0A}"/>
    <cellStyle name="Good" xfId="8" builtinId="26" customBuiltin="1"/>
    <cellStyle name="Good 2" xfId="216" xr:uid="{B13A6FB4-469B-460F-9D7D-EB0E1E923B74}"/>
    <cellStyle name="Good 3" xfId="217" xr:uid="{BE1FE176-FC87-4225-AA87-0F1F66621146}"/>
    <cellStyle name="Good 4" xfId="218" xr:uid="{2593BD1F-6ADC-4F6B-BC9D-79BBDF89702A}"/>
    <cellStyle name="Good 5" xfId="219" xr:uid="{7B69882A-6CA5-4FCB-9ACF-33E286A5555E}"/>
    <cellStyle name="Good 6" xfId="220" xr:uid="{8AEBD887-0069-4F64-AC25-A956725F4B74}"/>
    <cellStyle name="Good 7" xfId="221" xr:uid="{3C839F45-07DC-48C3-9540-71129B13C0BE}"/>
    <cellStyle name="Good 8" xfId="222" xr:uid="{EFAF0FE6-23A1-4E95-8DDD-CB2E39370936}"/>
    <cellStyle name="Good 9" xfId="491" xr:uid="{59080005-BC2D-49A3-8C0F-3729C9036317}"/>
    <cellStyle name="Heading 1" xfId="4" builtinId="16" customBuiltin="1"/>
    <cellStyle name="Heading 1 2" xfId="223" xr:uid="{F8DFCAA1-881E-4307-BDF5-96373AA2FACB}"/>
    <cellStyle name="Heading 1 3" xfId="224" xr:uid="{6FA013B1-B143-4AA8-B265-6D46AB2A1E1F}"/>
    <cellStyle name="Heading 1 4" xfId="225" xr:uid="{BA4D33BE-FEE0-4589-99C4-48986AE14CBC}"/>
    <cellStyle name="Heading 1 5" xfId="226" xr:uid="{6DC4457C-0D24-4EE9-A569-FC3C2732858F}"/>
    <cellStyle name="Heading 1 6" xfId="227" xr:uid="{EB317123-860F-422F-9DCE-8ECCC10E6015}"/>
    <cellStyle name="Heading 1 7" xfId="228" xr:uid="{7844E58C-46B9-486D-A8D2-EF0DC6F8E182}"/>
    <cellStyle name="Heading 1 8" xfId="229" xr:uid="{4AFB39B7-89D6-43B5-872A-A25C17CCB00F}"/>
    <cellStyle name="Heading 1 9" xfId="487" xr:uid="{17BD5F84-2498-4533-A8BB-4A0207D9FCFE}"/>
    <cellStyle name="Heading 2" xfId="5" builtinId="17" customBuiltin="1"/>
    <cellStyle name="Heading 2 2" xfId="230" xr:uid="{60711604-1833-4535-AB2F-89E9D7173CF0}"/>
    <cellStyle name="Heading 2 3" xfId="231" xr:uid="{B5A4B127-DB8B-4A3E-9162-7598DB5FC6E7}"/>
    <cellStyle name="Heading 2 4" xfId="232" xr:uid="{D2A56964-3018-4455-8AA3-15F595500449}"/>
    <cellStyle name="Heading 2 5" xfId="233" xr:uid="{3786BB3A-CCA9-4F9A-B7AF-27F0602255FF}"/>
    <cellStyle name="Heading 2 6" xfId="234" xr:uid="{EE5B63A0-6139-419B-A428-A760136FA33A}"/>
    <cellStyle name="Heading 2 7" xfId="235" xr:uid="{F48813AF-6522-49AF-8F0C-C0806E8502A9}"/>
    <cellStyle name="Heading 2 8" xfId="236" xr:uid="{5FD366EA-AF2E-4AE9-AEA6-11679A624D18}"/>
    <cellStyle name="Heading 2 9" xfId="488" xr:uid="{C8276695-CE95-470D-BFBD-05995E98ECC4}"/>
    <cellStyle name="Heading 3" xfId="6" builtinId="18" customBuiltin="1"/>
    <cellStyle name="Heading 3 2" xfId="237" xr:uid="{2FB7B4D0-24AF-4169-B542-3DFD2A9ACA87}"/>
    <cellStyle name="Heading 3 3" xfId="238" xr:uid="{C85A28F8-A7C5-45F6-89AF-60908C4D2553}"/>
    <cellStyle name="Heading 3 4" xfId="239" xr:uid="{703E106E-9AF0-4AD2-AEA5-8180DF9B4ED6}"/>
    <cellStyle name="Heading 3 5" xfId="240" xr:uid="{3DA923AE-FFE3-48F8-9831-8EF20BEFF39D}"/>
    <cellStyle name="Heading 3 6" xfId="241" xr:uid="{9FB8F094-DE47-4E05-B44F-C895364A909E}"/>
    <cellStyle name="Heading 3 7" xfId="242" xr:uid="{81B153F5-2044-4111-B9D9-5930471422A7}"/>
    <cellStyle name="Heading 3 8" xfId="243" xr:uid="{71C0CCBF-F10A-4B02-A227-E4B3AD7EDC13}"/>
    <cellStyle name="Heading 3 9" xfId="489" xr:uid="{43A2AAED-65B8-4DE5-8351-1D9558814071}"/>
    <cellStyle name="Heading 4" xfId="7" builtinId="19" customBuiltin="1"/>
    <cellStyle name="Heading 4 2" xfId="244" xr:uid="{6928C458-D9CE-4ED5-8142-971FF8ED7991}"/>
    <cellStyle name="Heading 4 3" xfId="245" xr:uid="{A61E57E3-4238-4416-82A6-FD87615381A6}"/>
    <cellStyle name="Heading 4 4" xfId="246" xr:uid="{8CC89121-17A7-4F27-84D6-8D2A7CCC4E05}"/>
    <cellStyle name="Heading 4 5" xfId="247" xr:uid="{6D56F149-D50E-49CC-A5C8-50BA70CE9374}"/>
    <cellStyle name="Heading 4 6" xfId="248" xr:uid="{018304DC-7885-4010-905D-B22356350F66}"/>
    <cellStyle name="Heading 4 7" xfId="249" xr:uid="{488D38C1-035E-4128-83F6-B2F8FAABC083}"/>
    <cellStyle name="Heading 4 8" xfId="250" xr:uid="{3113E054-7268-4790-B620-FB9A078BFC90}"/>
    <cellStyle name="Heading 4 9" xfId="490" xr:uid="{4C30666C-F7D5-4F44-A3DB-0C3369E1EF4E}"/>
    <cellStyle name="Hyperlink" xfId="820" builtinId="8"/>
    <cellStyle name="Input" xfId="10" builtinId="20" customBuiltin="1"/>
    <cellStyle name="Input 2" xfId="251" xr:uid="{AB599095-12B9-4FC2-B59D-95057BAE0672}"/>
    <cellStyle name="Input 3" xfId="252" xr:uid="{A5CEF934-D98C-4C54-B85A-5686651B83FA}"/>
    <cellStyle name="Input 4" xfId="253" xr:uid="{03CDE8DF-A00F-4FC7-A4BE-FECC36AD2DB9}"/>
    <cellStyle name="Input 5" xfId="254" xr:uid="{523EC8E1-0FD9-4890-998B-4DD084C7B0C0}"/>
    <cellStyle name="Input 6" xfId="255" xr:uid="{2378B6A9-0BB2-4546-B41A-09C5C160127E}"/>
    <cellStyle name="Input 7" xfId="256" xr:uid="{99139A0E-0DD7-458E-85E2-00796488E02B}"/>
    <cellStyle name="Input 8" xfId="257" xr:uid="{AA88A26C-A624-4F6E-98DF-D7F877C303DB}"/>
    <cellStyle name="Input 9" xfId="494" xr:uid="{1672B288-3F2E-451B-86AF-A8C8B3F8E3BB}"/>
    <cellStyle name="Linked Cell" xfId="13" builtinId="24" customBuiltin="1"/>
    <cellStyle name="Linked Cell 2" xfId="258" xr:uid="{B33DCF84-7ABA-4E6C-BE3B-98B63F03A5DC}"/>
    <cellStyle name="Linked Cell 3" xfId="259" xr:uid="{20D44C43-4352-4E97-9C87-9EB1B75AF3FD}"/>
    <cellStyle name="Linked Cell 4" xfId="260" xr:uid="{ED7EECB7-D3D8-46DB-BC67-4F79A5AC12BB}"/>
    <cellStyle name="Linked Cell 5" xfId="261" xr:uid="{5A9FCF47-5E6E-4C35-8C7F-D94C8EA3F389}"/>
    <cellStyle name="Linked Cell 6" xfId="262" xr:uid="{128C54BA-887A-44DE-950B-F9E433DB404C}"/>
    <cellStyle name="Linked Cell 7" xfId="263" xr:uid="{96744B3A-45C8-4744-9FC9-E528AB3E261B}"/>
    <cellStyle name="Linked Cell 8" xfId="264" xr:uid="{6EB04615-CBBB-4B89-A7D0-5DBDD0395A5E}"/>
    <cellStyle name="Linked Cell 9" xfId="497" xr:uid="{3CD176C3-52FE-4C63-A6E7-591420D40935}"/>
    <cellStyle name="Neutral 10" xfId="311" xr:uid="{6B286B04-6312-4A49-B7C3-15227C5FBDD8}"/>
    <cellStyle name="Neutral 2" xfId="265" xr:uid="{65A4A137-4731-416D-A14F-453F7B5C44A3}"/>
    <cellStyle name="Neutral 3" xfId="266" xr:uid="{2BF1E4AA-D055-411D-8D6A-876AFDE71EEA}"/>
    <cellStyle name="Neutral 4" xfId="267" xr:uid="{57ED1EED-87A4-4BEC-A7FB-E19F74D36973}"/>
    <cellStyle name="Neutral 5" xfId="268" xr:uid="{D754EA04-5730-4E01-B719-CFE2BA229F9D}"/>
    <cellStyle name="Neutral 6" xfId="269" xr:uid="{A0240E4A-C331-44C1-8590-886F5B80E84F}"/>
    <cellStyle name="Neutral 7" xfId="270" xr:uid="{B0373C05-63D8-4D75-A1F4-AA22CB112EFC}"/>
    <cellStyle name="Neutral 8" xfId="271" xr:uid="{3EB790FA-95A1-4CE3-8905-C6DB532417FB}"/>
    <cellStyle name="Neutral 9" xfId="493" xr:uid="{564BE139-1378-4ADB-BBA8-00CE177F43A6}"/>
    <cellStyle name="Normal" xfId="0" builtinId="0"/>
    <cellStyle name="Normal 10" xfId="3" xr:uid="{00000000-0005-0000-0000-000002000000}"/>
    <cellStyle name="Normal 10 2" xfId="398" xr:uid="{E49F22D6-7B8F-44C7-97A7-BCB11CF775A2}"/>
    <cellStyle name="Normal 10 2 2" xfId="733" xr:uid="{8C8B77C8-4CDA-4487-8363-FED8933199FE}"/>
    <cellStyle name="Normal 10 3" xfId="641" xr:uid="{939CB4A7-9CA7-419B-817F-A1DB32F7D64F}"/>
    <cellStyle name="Normal 11" xfId="318" xr:uid="{B47201DA-83FE-4F07-BCA2-A4392CE5E920}"/>
    <cellStyle name="Normal 11 2" xfId="654" xr:uid="{BAE1CE34-B013-4076-98C8-F7D40B96F635}"/>
    <cellStyle name="Normal 12" xfId="486" xr:uid="{57DF1149-1215-4819-99DF-D4A37592AA12}"/>
    <cellStyle name="Normal 13" xfId="626" xr:uid="{086E5D4B-EDAB-4636-99BB-DB2E7B780F44}"/>
    <cellStyle name="Normal 14" xfId="526" xr:uid="{C7F1638C-BED6-406E-B229-F46C0F0E957B}"/>
    <cellStyle name="Normal 15" xfId="36" xr:uid="{F57236A7-5CDD-4C6B-A9D8-03F21F72CE75}"/>
    <cellStyle name="Normal 18" xfId="272" xr:uid="{2B0F8DB4-C9E7-44C0-9A5D-1F634E9AB617}"/>
    <cellStyle name="Normal 2" xfId="1" xr:uid="{00000000-0005-0000-0000-000003000000}"/>
    <cellStyle name="Normal 2 10" xfId="273" xr:uid="{154438D6-72BD-4A25-997D-56483285F2EA}"/>
    <cellStyle name="Normal 2 2" xfId="41" xr:uid="{83DDDE50-2557-4D20-88EB-324357795A54}"/>
    <cellStyle name="Normal 2 2 2" xfId="274" xr:uid="{B03D2F1E-B52B-41FF-B22A-DFA81E11FBA4}"/>
    <cellStyle name="Normal 2 2 3" xfId="52" xr:uid="{F6B7FD8C-9969-4C1F-9BA2-77D8ACE0B2DB}"/>
    <cellStyle name="Normal 2 2 3 2" xfId="649" xr:uid="{5997BE05-A0E9-4C58-B577-7C20DEEB118C}"/>
    <cellStyle name="Normal 2 2 3 3" xfId="618" xr:uid="{69909D77-F2A7-4C7E-A367-5F30299D0047}"/>
    <cellStyle name="Normal 2 3" xfId="275" xr:uid="{D4DA484F-B5FF-49A5-8B5E-9E28D7D6F690}"/>
    <cellStyle name="Normal 2 3 2" xfId="478" xr:uid="{E3A1FB67-15B9-477E-B89E-A24C4E410655}"/>
    <cellStyle name="Normal 2 3 2 2" xfId="811" xr:uid="{A27A360E-BA88-4E04-8644-A2A3FBB5EFF8}"/>
    <cellStyle name="Normal 2 3 3" xfId="390" xr:uid="{8304D6DB-B616-401D-B97C-535E5983BF5A}"/>
    <cellStyle name="Normal 2 3 3 2" xfId="726" xr:uid="{49B13308-ADEC-421C-86BF-8ECF15541652}"/>
    <cellStyle name="Normal 2 3 4" xfId="610" xr:uid="{6BC40F1D-EBAA-453F-9169-2DEF361C7191}"/>
    <cellStyle name="Normal 2 4" xfId="276" xr:uid="{A36F2385-69AE-42C1-96D6-303C7C4A28A0}"/>
    <cellStyle name="Normal 2 5" xfId="47" xr:uid="{3DF2B445-0A6D-4BF1-8781-F8ACB6155F90}"/>
    <cellStyle name="Normal 26" xfId="277" xr:uid="{E613532D-2BDC-4142-995C-4CE835B95FF4}"/>
    <cellStyle name="Normal 3" xfId="2" xr:uid="{00000000-0005-0000-0000-000004000000}"/>
    <cellStyle name="Normal 3 2" xfId="53" xr:uid="{C43EF946-53D1-44D0-9113-D5E30265906A}"/>
    <cellStyle name="Normal 3 3" xfId="48" xr:uid="{C67D054C-EF58-44E0-BFE0-7AB4A571ADD1}"/>
    <cellStyle name="Normal 3 3 2" xfId="647" xr:uid="{3D6852A5-A906-45B1-8799-D7FE95F2BCDF}"/>
    <cellStyle name="Normal 3 3 3" xfId="619" xr:uid="{566BA9A7-12C8-4661-A82E-93F7BCC605E3}"/>
    <cellStyle name="Normal 3 4" xfId="399" xr:uid="{3F3C736A-531B-4B0D-BB4B-7FF41831BD70}"/>
    <cellStyle name="Normal 3 4 2" xfId="734" xr:uid="{2DA32C2C-A067-4A52-885F-A23BBDE7A348}"/>
    <cellStyle name="Normal 3 5" xfId="642" xr:uid="{94DAFF36-6774-4E5F-9CAB-B6395CAD173E}"/>
    <cellStyle name="Normal 3 6" xfId="38" xr:uid="{228AA0D6-78D8-4AC1-8177-65B74EF3C929}"/>
    <cellStyle name="Normal 4" xfId="45" xr:uid="{2A0DE8C3-F06E-41AE-92FC-45D48B988B40}"/>
    <cellStyle name="Normal 4 2" xfId="54" xr:uid="{2A0735FF-2BFC-4136-885A-C594C9B2D024}"/>
    <cellStyle name="Normal 4 3" xfId="49" xr:uid="{AC9EC6BE-493B-4AF8-8A08-2C9481EC55FF}"/>
    <cellStyle name="Normal 4 3 2" xfId="648" xr:uid="{04384044-496F-422A-8C00-F01C64FC832B}"/>
    <cellStyle name="Normal 4 3 3" xfId="623" xr:uid="{83D0AA35-DFA0-4AC7-A10B-014508E2802F}"/>
    <cellStyle name="Normal 4 4" xfId="403" xr:uid="{E2BFE72B-E5A3-4A63-B49C-6E6114F7483D}"/>
    <cellStyle name="Normal 4 4 2" xfId="737" xr:uid="{612C06E2-9DEE-4F81-B0AF-B6BDC7B6D564}"/>
    <cellStyle name="Normal 4 5" xfId="652" xr:uid="{B159368E-FECE-4D14-8234-A6245E946283}"/>
    <cellStyle name="Normal 5" xfId="46" xr:uid="{6552149E-0E24-42CE-8C7C-8FF58F603C53}"/>
    <cellStyle name="Normal 5 2" xfId="50" xr:uid="{4B3B261F-5C8C-4B15-AB27-843B958DD59D}"/>
    <cellStyle name="Normal 5 3" xfId="278" xr:uid="{999736F6-68A5-4D0C-98A6-7988CAE214C1}"/>
    <cellStyle name="Normal 5 4" xfId="404" xr:uid="{1F1F68AC-73A9-430B-A6C2-949732FE3588}"/>
    <cellStyle name="Normal 5 4 2" xfId="738" xr:uid="{ECDE66BB-CCF1-447E-A48A-F39FA8DF9C4C}"/>
    <cellStyle name="Normal 5 5" xfId="646" xr:uid="{D0805392-73F8-4AA8-AC67-122281508C09}"/>
    <cellStyle name="Normal 6" xfId="51" xr:uid="{843688DD-1D0B-418B-8B17-5EAD8DF5A79E}"/>
    <cellStyle name="Normal 7" xfId="308" xr:uid="{B90A7934-F07F-4B31-88BE-355A5EBB6399}"/>
    <cellStyle name="Normal 7 2" xfId="405" xr:uid="{A58DBA08-C535-46DD-9D49-7EC18EDBDDBA}"/>
    <cellStyle name="Normal 7 2 2" xfId="624" xr:uid="{B4A3BB9C-3A9D-4C9E-ABBF-D1F32D1C78ED}"/>
    <cellStyle name="Normal 7 3" xfId="625" xr:uid="{CE60684D-90B3-4197-B5B2-5C9FE599CAB0}"/>
    <cellStyle name="Normal 8" xfId="309" xr:uid="{007BD788-F565-469C-B7EB-B9DB719AEC56}"/>
    <cellStyle name="Normal 8 2" xfId="406" xr:uid="{AE211AFE-825F-4411-8B4C-2C4BFDA722D1}"/>
    <cellStyle name="Normal 8 2 2" xfId="739" xr:uid="{C080E7B0-D168-4222-8079-2E7FA4BB83A2}"/>
    <cellStyle name="Normal 8 3" xfId="650" xr:uid="{9384F910-3F54-4676-A157-DBC2675BEFA8}"/>
    <cellStyle name="Normal 9" xfId="407" xr:uid="{D28C6643-FBDE-468B-BA68-638065085EC6}"/>
    <cellStyle name="Normal 9 2" xfId="740" xr:uid="{7A40BFC5-BC5B-4CC8-817F-F7BA7675E696}"/>
    <cellStyle name="Note 10" xfId="319" xr:uid="{2DB605AA-072F-4C51-AC30-252FBF7FB758}"/>
    <cellStyle name="Note 10 2" xfId="655" xr:uid="{BD042E10-ECF6-4E61-9D13-9D82ED971E2C}"/>
    <cellStyle name="Note 11" xfId="527" xr:uid="{C88D15D3-870C-458C-A726-8AD0CA0EC0DD}"/>
    <cellStyle name="Note 2" xfId="279" xr:uid="{FABC3352-BD6A-48F0-AF7F-ED7E918D235A}"/>
    <cellStyle name="Note 2 2" xfId="479" xr:uid="{91E0CF7D-3183-4101-AB0F-40AE7338E4C7}"/>
    <cellStyle name="Note 2 2 2" xfId="812" xr:uid="{EB17B710-9C46-45C1-93D0-638EED7804F1}"/>
    <cellStyle name="Note 2 3" xfId="391" xr:uid="{4C424AC3-2D5C-4B34-A22D-CCB929B6BE30}"/>
    <cellStyle name="Note 2 3 2" xfId="727" xr:uid="{B9A6F8C1-B699-4477-B605-589F45BB7888}"/>
    <cellStyle name="Note 2 4" xfId="611" xr:uid="{D2B090CC-F9E8-4D83-8501-2FF36844D0D7}"/>
    <cellStyle name="Note 3" xfId="280" xr:uid="{877B09FE-868B-46FB-9F07-C546A80ED2F1}"/>
    <cellStyle name="Note 3 2" xfId="480" xr:uid="{2227DA69-ADC8-4254-9914-59D666B111DB}"/>
    <cellStyle name="Note 3 2 2" xfId="813" xr:uid="{9F3BFE2C-B3D3-4CA4-9DDF-5E32860A21D3}"/>
    <cellStyle name="Note 3 3" xfId="392" xr:uid="{DB79C314-2828-4581-B190-5841EC19813A}"/>
    <cellStyle name="Note 3 3 2" xfId="728" xr:uid="{9C0A882A-4CF6-4628-B5B5-99D49A03DBA1}"/>
    <cellStyle name="Note 3 4" xfId="612" xr:uid="{A571AFEF-A1B8-4BF8-A499-364478C472FA}"/>
    <cellStyle name="Note 4" xfId="281" xr:uid="{96462072-76A5-4D52-A6E6-C7BB087E31E7}"/>
    <cellStyle name="Note 4 2" xfId="481" xr:uid="{E2ADA0CA-3418-4058-9839-6E5F946456DD}"/>
    <cellStyle name="Note 4 2 2" xfId="814" xr:uid="{4664F2D8-7A3D-48A9-B4D2-81799CAB8F22}"/>
    <cellStyle name="Note 4 3" xfId="393" xr:uid="{4EF37FDE-892E-4877-B62F-4512AEFFD931}"/>
    <cellStyle name="Note 4 3 2" xfId="729" xr:uid="{941A2E90-5C08-4396-A278-C2C072B7136A}"/>
    <cellStyle name="Note 4 4" xfId="613" xr:uid="{5D0D9754-713D-44C1-B2C5-E4FA09C6DA57}"/>
    <cellStyle name="Note 5" xfId="282" xr:uid="{FA423E5A-0113-49FF-8571-5372AED3AEE6}"/>
    <cellStyle name="Note 5 2" xfId="482" xr:uid="{C5850085-8B0C-40B8-B8AB-5F33C6F50B52}"/>
    <cellStyle name="Note 5 2 2" xfId="815" xr:uid="{A988B48F-0008-485E-9708-732E94720D8B}"/>
    <cellStyle name="Note 5 3" xfId="394" xr:uid="{D6942A42-CC2E-40FE-9864-2C2B85FFB497}"/>
    <cellStyle name="Note 5 3 2" xfId="730" xr:uid="{8F41093A-80F2-48C0-AFB8-32E80F0534B2}"/>
    <cellStyle name="Note 5 4" xfId="614" xr:uid="{2493E2EE-C215-4EE3-865E-B5F3BF64AD84}"/>
    <cellStyle name="Note 6" xfId="283" xr:uid="{DF435043-F5D7-431E-942F-385F75268B42}"/>
    <cellStyle name="Note 6 2" xfId="483" xr:uid="{5D8F2BE4-920D-4CA0-AFC8-678AC1B8C1DA}"/>
    <cellStyle name="Note 6 2 2" xfId="816" xr:uid="{8AF38A8A-3E02-4E75-829D-57C524CD6DAD}"/>
    <cellStyle name="Note 6 3" xfId="395" xr:uid="{3F5348D6-B6C6-4904-ACA2-C062451DE3B6}"/>
    <cellStyle name="Note 6 3 2" xfId="731" xr:uid="{6364D862-0960-4DAB-8874-8423F7640004}"/>
    <cellStyle name="Note 6 4" xfId="615" xr:uid="{E92817EE-DCBF-4E07-8CE9-F72BD22F53B9}"/>
    <cellStyle name="Note 7" xfId="284" xr:uid="{85079D22-0592-46DC-8EF6-56CFA504D7D2}"/>
    <cellStyle name="Note 7 2" xfId="484" xr:uid="{7DE21D50-8911-4B74-8497-5B99576115FB}"/>
    <cellStyle name="Note 7 2 2" xfId="817" xr:uid="{19283500-D98C-45A3-8DF4-C81F2DE1E0AC}"/>
    <cellStyle name="Note 7 3" xfId="396" xr:uid="{1770630C-BD37-444F-98B7-038C5B83780A}"/>
    <cellStyle name="Note 7 3 2" xfId="732" xr:uid="{E16B435C-CABD-4EDA-AFE1-EDD44EF56A33}"/>
    <cellStyle name="Note 7 4" xfId="616" xr:uid="{075DB40E-770C-44F1-A4EA-8F1F336F7591}"/>
    <cellStyle name="Note 8" xfId="285" xr:uid="{0A0FEE7C-4000-472B-8580-8B74F016AD1F}"/>
    <cellStyle name="Note 8 2" xfId="286" xr:uid="{3F25EDB7-E5FA-401D-A6C8-AE82065C11C0}"/>
    <cellStyle name="Note 9" xfId="485" xr:uid="{F199654A-A2FF-44D5-B7D2-85139F70452B}"/>
    <cellStyle name="Note 9 2" xfId="627" xr:uid="{9A10C801-A366-48CE-B5AD-D729FA052129}"/>
    <cellStyle name="Output" xfId="11" builtinId="21" customBuiltin="1"/>
    <cellStyle name="Output 2" xfId="287" xr:uid="{ECED39A5-BC76-4D47-BFE8-247440560E5C}"/>
    <cellStyle name="Output 3" xfId="288" xr:uid="{9A9A9E2C-415D-47D3-8E81-CAC626A0A470}"/>
    <cellStyle name="Output 4" xfId="289" xr:uid="{3F900914-A15F-45FA-847E-BD7792E4090E}"/>
    <cellStyle name="Output 5" xfId="290" xr:uid="{548B98C5-6D2F-468B-AD1C-6B9321344D99}"/>
    <cellStyle name="Output 6" xfId="291" xr:uid="{04981711-975C-47A8-B579-D78C4EBDA78D}"/>
    <cellStyle name="Output 7" xfId="292" xr:uid="{F8DF0420-8C28-49FE-A6FD-1267CC85E2E5}"/>
    <cellStyle name="Output 8" xfId="293" xr:uid="{7A67AFED-1A70-4F96-85FB-F7BE0EFD0268}"/>
    <cellStyle name="Output 9" xfId="495" xr:uid="{5B11598F-7CFD-4A69-9CF2-A843766638D8}"/>
    <cellStyle name="Percent" xfId="818" builtinId="5"/>
    <cellStyle name="Percent 2" xfId="43" xr:uid="{F431644B-3BC6-4682-BCBF-0FD96FB38D73}"/>
    <cellStyle name="Percent 2 2" xfId="401" xr:uid="{4D217BC5-8F5F-41F7-9C14-BCF06373D252}"/>
    <cellStyle name="Percent 2 2 2" xfId="736" xr:uid="{B3E4BC39-35DE-443C-82D0-89F8E8AD6D24}"/>
    <cellStyle name="Percent 2 3" xfId="645" xr:uid="{9893C3DE-6310-4C3C-9296-F9206881E875}"/>
    <cellStyle name="Percent 3" xfId="402" xr:uid="{640F2E29-CAB5-40E1-BC01-4BC340144EA8}"/>
    <cellStyle name="Percent 4" xfId="651" xr:uid="{5B7774F5-B445-4745-AA88-C170E643B57C}"/>
    <cellStyle name="Percent 5" xfId="44" xr:uid="{60317D8E-36AE-45D3-9939-F9C702963BC2}"/>
    <cellStyle name="Title 2" xfId="294" xr:uid="{67AAD575-AE64-47F1-9B95-406750CB93A7}"/>
    <cellStyle name="Title 3" xfId="295" xr:uid="{5780A5BA-74FE-4F3C-894C-490C7BC0FC6A}"/>
    <cellStyle name="Title 4" xfId="296" xr:uid="{ED441C8C-60A8-4AA0-A16D-9089F930FF17}"/>
    <cellStyle name="Title 5" xfId="297" xr:uid="{82388749-8C0D-4585-99EF-D7B74E239351}"/>
    <cellStyle name="Title 6" xfId="298" xr:uid="{37636AD4-1FE0-4E6F-AA1C-6AFD36D31B33}"/>
    <cellStyle name="Title 7" xfId="299" xr:uid="{06CEE780-C7B1-4F26-A985-BB8FE91F2938}"/>
    <cellStyle name="Title 8" xfId="300" xr:uid="{9B774CE5-D8D5-47B2-A7FA-04754131E441}"/>
    <cellStyle name="Title 9" xfId="310" xr:uid="{81AF4143-84B0-44B3-A7CA-7B53AD4E45C2}"/>
    <cellStyle name="Total" xfId="17" builtinId="25" customBuiltin="1"/>
    <cellStyle name="Total 2" xfId="301" xr:uid="{C85F1F9B-1B77-4031-922B-AB78DDDC103B}"/>
    <cellStyle name="Total 3" xfId="302" xr:uid="{28F916DB-0252-49C5-943B-39DEF402F25D}"/>
    <cellStyle name="Total 4" xfId="303" xr:uid="{E78F9530-43BE-48B0-A02A-BBD988079862}"/>
    <cellStyle name="Total 5" xfId="304" xr:uid="{736281CE-65FA-45FB-86EF-76509F36C163}"/>
    <cellStyle name="Total 6" xfId="305" xr:uid="{742B42DC-BA6E-4EE8-AFE4-5B999D956F52}"/>
    <cellStyle name="Total 7" xfId="306" xr:uid="{D5737CF7-AB07-4EE0-AF80-3C0848223EAB}"/>
    <cellStyle name="Total 8" xfId="307" xr:uid="{FCBAB21B-948B-4002-94AB-258932EE12BA}"/>
    <cellStyle name="Total 9" xfId="501" xr:uid="{1AE765BA-8E75-4E72-A84F-78FD550D2801}"/>
    <cellStyle name="Warning Text" xfId="15" builtinId="11" customBuiltin="1"/>
    <cellStyle name="Warning Text 2" xfId="499" xr:uid="{CF4C9489-CEC1-42C5-B1B2-B086BED71966}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rgb="FFF0DCF0"/>
        </patternFill>
      </fill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ill>
        <patternFill>
          <bgColor rgb="FFFFE1E1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rgb="FF72EAE1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rgb="FFC5E5ED"/>
        </patternFill>
      </fill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ill>
        <patternFill>
          <bgColor rgb="FF66FFFF"/>
        </patternFill>
      </fill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ill>
        <patternFill>
          <bgColor rgb="FFCCFFFF"/>
        </patternFill>
      </fill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theme="3" tint="-0.499984740745262"/>
        </left>
        <right style="thin">
          <color theme="3" tint="-0.499984740745262"/>
        </right>
        <top style="thin">
          <color theme="3" tint="-0.499984740745262"/>
        </top>
        <bottom style="thin">
          <color theme="3" tint="-0.499984740745262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ont>
        <color theme="0"/>
      </font>
      <fill>
        <patternFill>
          <bgColor theme="7" tint="-0.49998474074526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ont>
        <color theme="0"/>
      </font>
      <fill>
        <patternFill>
          <bgColor rgb="FF002060"/>
        </patternFill>
      </fill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ont>
        <color rgb="FF00206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theme="8" tint="-0.24994659260841701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fgColor rgb="FF97FFEB"/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fgColor rgb="FF97FFEB"/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ont>
        <color rgb="FF006100"/>
      </font>
      <fill>
        <patternFill>
          <bgColor rgb="FFA3E7FF"/>
        </patternFill>
      </fill>
    </dxf>
    <dxf>
      <font>
        <color rgb="FF9C5700"/>
      </font>
      <fill>
        <patternFill>
          <bgColor rgb="FFE6F7E1"/>
        </patternFill>
      </fill>
    </dxf>
  </dxfs>
  <tableStyles count="0" defaultTableStyle="TableStyleMedium2" defaultPivotStyle="PivotStyleLight16"/>
  <colors>
    <mruColors>
      <color rgb="FFDBD600"/>
      <color rgb="FFFFE1E1"/>
      <color rgb="FFFFCC00"/>
      <color rgb="FFFFFFCC"/>
      <color rgb="FFB7FFE7"/>
      <color rgb="FFB3FFE6"/>
      <color rgb="FFDDFFF4"/>
      <color rgb="FFC5E5ED"/>
      <color rgb="FFCCFFFF"/>
      <color rgb="FFE6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977900</xdr:colOff>
      <xdr:row>3</xdr:row>
      <xdr:rowOff>95250</xdr:rowOff>
    </xdr:from>
    <xdr:to>
      <xdr:col>13</xdr:col>
      <xdr:colOff>82550</xdr:colOff>
      <xdr:row>3</xdr:row>
      <xdr:rowOff>285750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99641B5-124A-C47C-5E2F-79430C5A0E6A}"/>
            </a:ext>
          </a:extLst>
        </xdr:cNvPr>
        <xdr:cNvSpPr txBox="1"/>
      </xdr:nvSpPr>
      <xdr:spPr>
        <a:xfrm>
          <a:off x="10134600" y="1003300"/>
          <a:ext cx="533400" cy="1905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800" b="1">
              <a:solidFill>
                <a:schemeClr val="bg1"/>
              </a:solidFill>
            </a:rPr>
            <a:t>2024-04</a:t>
          </a:r>
        </a:p>
      </xdr:txBody>
    </xdr:sp>
    <xdr:clientData/>
  </xdr:twoCellAnchor>
  <xdr:twoCellAnchor>
    <xdr:from>
      <xdr:col>15</xdr:col>
      <xdr:colOff>25400</xdr:colOff>
      <xdr:row>2</xdr:row>
      <xdr:rowOff>139700</xdr:rowOff>
    </xdr:from>
    <xdr:to>
      <xdr:col>25</xdr:col>
      <xdr:colOff>596900</xdr:colOff>
      <xdr:row>3</xdr:row>
      <xdr:rowOff>279400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01259B2-27F5-AD88-6969-EE1A806F7710}"/>
            </a:ext>
          </a:extLst>
        </xdr:cNvPr>
        <xdr:cNvSpPr txBox="1"/>
      </xdr:nvSpPr>
      <xdr:spPr>
        <a:xfrm>
          <a:off x="10915650" y="673100"/>
          <a:ext cx="6667500" cy="51435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n-CA" sz="1400" b="1">
              <a:solidFill>
                <a:srgbClr val="002060"/>
              </a:solidFill>
            </a:rPr>
            <a:t>**Instructions</a:t>
          </a:r>
          <a:r>
            <a:rPr lang="en-CA" sz="1400" b="1" baseline="0">
              <a:solidFill>
                <a:srgbClr val="002060"/>
              </a:solidFill>
            </a:rPr>
            <a:t> on how to fill out the Trial Pricing Calculator**</a:t>
          </a:r>
        </a:p>
        <a:p>
          <a:pPr algn="ctr"/>
          <a:r>
            <a:rPr lang="en-CA" sz="1000" b="1" baseline="0">
              <a:solidFill>
                <a:srgbClr val="002060"/>
              </a:solidFill>
            </a:rPr>
            <a:t>(Please fill out all the applicable info. </a:t>
          </a:r>
          <a:r>
            <a:rPr lang="en-CA" sz="1000" b="1" baseline="0">
              <a:solidFill>
                <a:schemeClr val="accent4">
                  <a:lumMod val="50000"/>
                </a:schemeClr>
              </a:solidFill>
            </a:rPr>
            <a:t>Please ensure all fields are filled out correctly</a:t>
          </a:r>
          <a:r>
            <a:rPr lang="en-CA" sz="1000" b="1" baseline="0">
              <a:solidFill>
                <a:srgbClr val="002060"/>
              </a:solidFill>
            </a:rPr>
            <a:t>)</a:t>
          </a:r>
          <a:endParaRPr lang="en-CA" sz="1000" b="1">
            <a:solidFill>
              <a:srgbClr val="002060"/>
            </a:solidFill>
          </a:endParaRPr>
        </a:p>
      </xdr:txBody>
    </xdr:sp>
    <xdr:clientData/>
  </xdr:twoCellAnchor>
  <xdr:twoCellAnchor>
    <xdr:from>
      <xdr:col>15</xdr:col>
      <xdr:colOff>31750</xdr:colOff>
      <xdr:row>3</xdr:row>
      <xdr:rowOff>260350</xdr:rowOff>
    </xdr:from>
    <xdr:to>
      <xdr:col>25</xdr:col>
      <xdr:colOff>596900</xdr:colOff>
      <xdr:row>39</xdr:row>
      <xdr:rowOff>298450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DCDB5BD-EFB4-1252-196E-061273D12813}"/>
            </a:ext>
          </a:extLst>
        </xdr:cNvPr>
        <xdr:cNvSpPr txBox="1"/>
      </xdr:nvSpPr>
      <xdr:spPr>
        <a:xfrm>
          <a:off x="10922000" y="1168400"/>
          <a:ext cx="6661150" cy="6940550"/>
        </a:xfrm>
        <a:prstGeom prst="rect">
          <a:avLst/>
        </a:prstGeom>
        <a:solidFill>
          <a:schemeClr val="accent5">
            <a:lumMod val="50000"/>
          </a:schemeClr>
        </a:solidFill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q"/>
          </a:pPr>
          <a:r>
            <a:rPr lang="en-CA" sz="1100" b="1" u="sng">
              <a:solidFill>
                <a:schemeClr val="accent2">
                  <a:lumMod val="20000"/>
                  <a:lumOff val="80000"/>
                </a:schemeClr>
              </a:solidFill>
            </a:rPr>
            <a:t>Step 1</a:t>
          </a:r>
          <a:r>
            <a:rPr lang="en-CA" sz="1100">
              <a:solidFill>
                <a:schemeClr val="accent2">
                  <a:lumMod val="20000"/>
                  <a:lumOff val="80000"/>
                </a:schemeClr>
              </a:solidFill>
            </a:rPr>
            <a:t>:</a:t>
          </a: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CA" sz="1100">
              <a:solidFill>
                <a:schemeClr val="bg1"/>
              </a:solidFill>
            </a:rPr>
            <a:t>Please ensure all fields are blank before trial pricing</a:t>
          </a: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CA" sz="1100">
              <a:solidFill>
                <a:schemeClr val="bg1"/>
              </a:solidFill>
            </a:rPr>
            <a:t>Please select:</a:t>
          </a:r>
        </a:p>
        <a:p>
          <a:pPr marL="1085850" lvl="2" indent="-171450">
            <a:buFont typeface="Wingdings" panose="05000000000000000000" pitchFamily="2" charset="2"/>
            <a:buChar char="Ø"/>
          </a:pPr>
          <a:r>
            <a:rPr lang="en-CA" sz="1300" b="1" u="sng">
              <a:solidFill>
                <a:srgbClr val="FFCC00"/>
              </a:solidFill>
            </a:rPr>
            <a:t>MBLL</a:t>
          </a:r>
          <a:r>
            <a:rPr lang="en-CA" sz="1300" b="1" u="sng" baseline="0">
              <a:solidFill>
                <a:srgbClr val="FFCC00"/>
              </a:solidFill>
            </a:rPr>
            <a:t> Distribution </a:t>
          </a:r>
          <a:r>
            <a:rPr lang="en-CA" sz="1300" b="1" u="sng" baseline="0">
              <a:solidFill>
                <a:schemeClr val="bg1"/>
              </a:solidFill>
            </a:rPr>
            <a:t>or</a:t>
          </a:r>
          <a:r>
            <a:rPr lang="en-CA" sz="1300" b="1" u="sng" baseline="0">
              <a:solidFill>
                <a:srgbClr val="FFFF00"/>
              </a:solidFill>
            </a:rPr>
            <a:t> </a:t>
          </a:r>
          <a:r>
            <a:rPr lang="en-CA" sz="1300" b="1" u="sng" baseline="0">
              <a:solidFill>
                <a:srgbClr val="FFCC00"/>
              </a:solidFill>
            </a:rPr>
            <a:t>'PRIVATE Distribution</a:t>
          </a:r>
          <a:endParaRPr lang="en-CA" sz="1300" baseline="0">
            <a:solidFill>
              <a:srgbClr val="FFCC00"/>
            </a:solidFill>
          </a:endParaRPr>
        </a:p>
        <a:p>
          <a:pPr marL="628650" lvl="1" indent="-171450">
            <a:buFont typeface="Wingdings" panose="05000000000000000000" pitchFamily="2" charset="2"/>
            <a:buChar char="§"/>
          </a:pPr>
          <a:endParaRPr lang="en-CA" sz="500" baseline="0">
            <a:solidFill>
              <a:schemeClr val="bg1"/>
            </a:solidFill>
          </a:endParaRPr>
        </a:p>
        <a:p>
          <a:pPr marL="171450" lvl="0" indent="-171450">
            <a:buFont typeface="Wingdings" panose="05000000000000000000" pitchFamily="2" charset="2"/>
            <a:buChar char="q"/>
          </a:pPr>
          <a:r>
            <a:rPr lang="en-CA" sz="1100" b="1" u="sng" baseline="0">
              <a:solidFill>
                <a:schemeClr val="accent2">
                  <a:lumMod val="20000"/>
                  <a:lumOff val="80000"/>
                </a:schemeClr>
              </a:solidFill>
            </a:rPr>
            <a:t>Step 2:</a:t>
          </a: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CA" sz="1100" b="1" baseline="0">
              <a:solidFill>
                <a:schemeClr val="bg1"/>
              </a:solidFill>
            </a:rPr>
            <a:t>Select the Pricing desired to trial price</a:t>
          </a:r>
        </a:p>
        <a:p>
          <a:pPr marL="1085850" lvl="2" indent="-171450">
            <a:buFont typeface="Wingdings" panose="05000000000000000000" pitchFamily="2" charset="2"/>
            <a:buChar char="v"/>
          </a:pPr>
          <a:r>
            <a:rPr lang="en-CA" sz="1100" b="1" u="sng" baseline="0">
              <a:solidFill>
                <a:srgbClr val="FFFF00"/>
              </a:solidFill>
            </a:rPr>
            <a:t>MBLL DISTRIBUTION</a:t>
          </a:r>
          <a:r>
            <a:rPr lang="en-CA" sz="1100" baseline="0">
              <a:solidFill>
                <a:srgbClr val="FFFF00"/>
              </a:solidFill>
            </a:rPr>
            <a:t>: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chemeClr val="bg1"/>
              </a:solidFill>
            </a:rPr>
            <a:t>Select either </a:t>
          </a:r>
          <a:r>
            <a:rPr lang="en-CA" sz="1000" b="1" baseline="0">
              <a:solidFill>
                <a:srgbClr val="FFFF00"/>
              </a:solidFill>
            </a:rPr>
            <a:t>Case Cost </a:t>
          </a:r>
          <a:r>
            <a:rPr lang="en-CA" sz="1000" b="1" baseline="0">
              <a:solidFill>
                <a:schemeClr val="bg1"/>
              </a:solidFill>
            </a:rPr>
            <a:t>or </a:t>
          </a:r>
          <a:r>
            <a:rPr lang="en-CA" sz="1000" b="1" baseline="0">
              <a:solidFill>
                <a:srgbClr val="FFFF00"/>
              </a:solidFill>
            </a:rPr>
            <a:t>Retail Price </a:t>
          </a:r>
          <a:r>
            <a:rPr lang="en-CA" sz="1000" b="1" baseline="0">
              <a:solidFill>
                <a:schemeClr val="bg1"/>
              </a:solidFill>
            </a:rPr>
            <a:t>- </a:t>
          </a:r>
          <a:r>
            <a:rPr lang="en-CA" sz="1000" b="0" baseline="0">
              <a:solidFill>
                <a:schemeClr val="bg1"/>
              </a:solidFill>
            </a:rPr>
            <a:t> this is the desired trial price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rgbClr val="FFFF00"/>
              </a:solidFill>
            </a:rPr>
            <a:t>Input the Amount </a:t>
          </a:r>
          <a:r>
            <a:rPr lang="en-CA" sz="1000" b="0" baseline="0">
              <a:solidFill>
                <a:schemeClr val="bg1"/>
              </a:solidFill>
            </a:rPr>
            <a:t>to be trial priced in Column L9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Product Category 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select if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Beer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Ready to Drink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Wine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Spirit</a:t>
          </a:r>
          <a:endParaRPr lang="en-CA" sz="1100">
            <a:solidFill>
              <a:srgbClr val="FFFF00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endParaRPr lang="en-CA" sz="800" b="0" baseline="0">
            <a:solidFill>
              <a:schemeClr val="bg1"/>
            </a:solidFill>
          </a:endParaRPr>
        </a:p>
        <a:p>
          <a:pPr marL="1085850" lvl="2" indent="-171450" eaLnBrk="1" fontAlgn="auto" latinLnBrk="0" hangingPunct="1">
            <a:buFont typeface="Wingdings" panose="05000000000000000000" pitchFamily="2" charset="2"/>
            <a:buChar char="v"/>
          </a:pPr>
          <a:r>
            <a:rPr lang="en-CA" sz="1100" b="1" i="0" u="sng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PRIVATE DISTRIBUTION:</a:t>
          </a:r>
          <a:endParaRPr lang="en-CA" sz="1100">
            <a:solidFill>
              <a:srgbClr val="FFFF00"/>
            </a:solidFill>
            <a:effectLst/>
          </a:endParaRPr>
        </a:p>
        <a:p>
          <a:pPr marL="1085850" lvl="2" indent="-171450" eaLnBrk="1" fontAlgn="auto" latinLnBrk="0" hangingPunct="1">
            <a:buFont typeface="Arial" panose="020B0604020202020204" pitchFamily="34" charset="0"/>
            <a:buChar char="•"/>
          </a:pP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Select either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Beer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or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Ready to Drink</a:t>
          </a:r>
          <a:endParaRPr lang="en-CA">
            <a:solidFill>
              <a:srgbClr val="FFFF00"/>
            </a:solidFill>
            <a:effectLst/>
          </a:endParaRPr>
        </a:p>
        <a:p>
          <a:pPr marL="1543050" lvl="3" indent="-171450" eaLnBrk="1" fontAlgn="auto" latinLnBrk="0" hangingPunct="1">
            <a:buFont typeface="Courier New" panose="02070309020205020404" pitchFamily="49" charset="0"/>
            <a:buChar char="o"/>
          </a:pP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Beer 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 select either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Gross Price to Brewer</a:t>
          </a:r>
          <a:r>
            <a:rPr lang="en-CA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Retail Price </a:t>
          </a:r>
          <a:r>
            <a:rPr lang="en-CA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or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Licensee Price</a:t>
          </a:r>
        </a:p>
        <a:p>
          <a:pPr marL="1543050" lvl="3" indent="-171450" eaLnBrk="1" fontAlgn="auto" latinLnBrk="0" hangingPunct="1">
            <a:buFont typeface="Courier New" panose="02070309020205020404" pitchFamily="49" charset="0"/>
            <a:buChar char="o"/>
          </a:pP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Ready to Drink 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select either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Gross Price to Brewer 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or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Retail Price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Courier New" panose="02070309020205020404" pitchFamily="49" charset="0"/>
            <a:buChar char="o"/>
            <a:tabLst/>
            <a:defRPr/>
          </a:pP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Input the Amount </a:t>
          </a:r>
          <a:r>
            <a:rPr lang="en-CA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 be trial priced in Column L9</a:t>
          </a:r>
          <a:endParaRPr lang="en-CA" sz="1100">
            <a:solidFill>
              <a:schemeClr val="bg1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endParaRPr lang="en-CA" sz="500" b="0" baseline="0">
            <a:solidFill>
              <a:schemeClr val="bg1"/>
            </a:solidFill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q"/>
            <a:tabLst/>
            <a:defRPr/>
          </a:pPr>
          <a:r>
            <a:rPr lang="en-CA" sz="1100" b="1" u="sng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Step 3:</a:t>
          </a:r>
          <a:endParaRPr lang="en-CA" sz="1100" b="1">
            <a:solidFill>
              <a:schemeClr val="bg1"/>
            </a:solidFill>
            <a:effectLst/>
          </a:endParaRPr>
        </a:p>
        <a:p>
          <a:pPr marL="628650" marR="0" lvl="1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Fill in the Product information</a:t>
          </a:r>
          <a:endParaRPr lang="en-CA" sz="1100" b="1">
            <a:solidFill>
              <a:srgbClr val="FFFF00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chemeClr val="bg1"/>
              </a:solidFill>
            </a:rPr>
            <a:t>Sub-type</a:t>
          </a:r>
          <a:r>
            <a:rPr lang="en-CA" sz="1000" baseline="0">
              <a:solidFill>
                <a:schemeClr val="bg1"/>
              </a:solidFill>
            </a:rPr>
            <a:t> - select the appropriate sub-type of the Category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chemeClr val="bg1"/>
              </a:solidFill>
            </a:rPr>
            <a:t>Micro Produced </a:t>
          </a:r>
          <a:r>
            <a:rPr lang="en-CA" sz="1000" baseline="0">
              <a:solidFill>
                <a:schemeClr val="bg1"/>
              </a:solidFill>
            </a:rPr>
            <a:t>- answer '</a:t>
          </a:r>
          <a:r>
            <a:rPr lang="en-CA" sz="1000" baseline="0">
              <a:solidFill>
                <a:srgbClr val="FFFF00"/>
              </a:solidFill>
            </a:rPr>
            <a:t>Yes'</a:t>
          </a:r>
          <a:r>
            <a:rPr lang="en-CA" sz="1000" baseline="0">
              <a:solidFill>
                <a:schemeClr val="bg1"/>
              </a:solidFill>
            </a:rPr>
            <a:t> or '</a:t>
          </a:r>
          <a:r>
            <a:rPr lang="en-CA" sz="1000" baseline="0">
              <a:solidFill>
                <a:srgbClr val="FFFF00"/>
              </a:solidFill>
            </a:rPr>
            <a:t>No</a:t>
          </a:r>
          <a:r>
            <a:rPr lang="en-CA" sz="1000" baseline="0">
              <a:solidFill>
                <a:schemeClr val="bg1"/>
              </a:solidFill>
            </a:rPr>
            <a:t>'. Based on supplier's annual declaration of Production that has been approved by MBLL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chemeClr val="bg1"/>
              </a:solidFill>
            </a:rPr>
            <a:t>Certificate of Origin (MBLL Distributed only) </a:t>
          </a:r>
          <a:r>
            <a:rPr lang="en-CA" sz="1000" baseline="0">
              <a:solidFill>
                <a:schemeClr val="bg1"/>
              </a:solidFill>
            </a:rPr>
            <a:t>- Submitted yearly for preferred customs rates stating the Country of Origin, from select countries. Answer </a:t>
          </a:r>
          <a:r>
            <a:rPr lang="en-CA" sz="1000" baseline="0">
              <a:solidFill>
                <a:srgbClr val="FFFF00"/>
              </a:solidFill>
            </a:rPr>
            <a:t>No</a:t>
          </a:r>
          <a:r>
            <a:rPr lang="en-CA" sz="1000" baseline="0">
              <a:solidFill>
                <a:schemeClr val="bg1"/>
              </a:solidFill>
            </a:rPr>
            <a:t> if product is shipping domestically. Answer '</a:t>
          </a:r>
          <a:r>
            <a:rPr lang="en-CA" sz="1000" baseline="0">
              <a:solidFill>
                <a:srgbClr val="FFFF00"/>
              </a:solidFill>
            </a:rPr>
            <a:t>Yes</a:t>
          </a:r>
          <a:r>
            <a:rPr lang="en-CA" sz="1000" baseline="0">
              <a:solidFill>
                <a:schemeClr val="bg1"/>
              </a:solidFill>
            </a:rPr>
            <a:t>' if COO is already submitted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"Is this a Gift Pack?</a:t>
          </a: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-  answer 'Yes 'if the product has a gift component or 'No' if no gift pack component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Courier New" panose="02070309020205020404" pitchFamily="49" charset="0"/>
            <a:buChar char="o"/>
            <a:tabLst/>
            <a:defRPr/>
          </a:pPr>
          <a:r>
            <a:rPr lang="en-CA" sz="1000">
              <a:solidFill>
                <a:schemeClr val="bg1"/>
              </a:solidFill>
              <a:effectLst/>
            </a:rPr>
            <a:t>If </a:t>
          </a:r>
          <a:r>
            <a:rPr lang="en-CA" sz="1000" b="1">
              <a:solidFill>
                <a:srgbClr val="FFFF00"/>
              </a:solidFill>
              <a:effectLst/>
            </a:rPr>
            <a:t>'Yes'</a:t>
          </a:r>
          <a:r>
            <a:rPr lang="en-CA" sz="1000">
              <a:solidFill>
                <a:schemeClr val="bg1"/>
              </a:solidFill>
              <a:effectLst/>
            </a:rPr>
            <a:t> - enter the </a:t>
          </a:r>
          <a:r>
            <a:rPr lang="en-CA" sz="1000" b="1">
              <a:solidFill>
                <a:srgbClr val="FFFF00"/>
              </a:solidFill>
              <a:effectLst/>
            </a:rPr>
            <a:t>'Add-On Cost per case</a:t>
          </a:r>
          <a:r>
            <a:rPr lang="en-CA" sz="1000">
              <a:solidFill>
                <a:schemeClr val="bg1"/>
              </a:solidFill>
              <a:effectLst/>
            </a:rPr>
            <a:t>' (note that Add-on</a:t>
          </a:r>
          <a:r>
            <a:rPr lang="en-CA" sz="1000" baseline="0">
              <a:solidFill>
                <a:schemeClr val="bg1"/>
              </a:solidFill>
              <a:effectLst/>
            </a:rPr>
            <a:t> cost per case cannot be higher than 49% of the Final Case Cost).</a:t>
          </a:r>
          <a:endParaRPr lang="en-CA" sz="1000">
            <a:solidFill>
              <a:schemeClr val="bg1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aseline="0">
              <a:solidFill>
                <a:schemeClr val="bg1"/>
              </a:solidFill>
            </a:rPr>
            <a:t>Enter the Number of Selling Units or Selling Package in a case (Case Size)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aseline="0">
              <a:solidFill>
                <a:schemeClr val="bg1"/>
              </a:solidFill>
            </a:rPr>
            <a:t>Enter the Individual container size per liter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aseline="0">
              <a:solidFill>
                <a:schemeClr val="bg1"/>
              </a:solidFill>
            </a:rPr>
            <a:t>Enter </a:t>
          </a:r>
          <a:r>
            <a:rPr lang="en-CA" sz="1000" b="1" baseline="0">
              <a:solidFill>
                <a:schemeClr val="bg1"/>
              </a:solidFill>
            </a:rPr>
            <a:t>selling units or selling pack </a:t>
          </a:r>
          <a:r>
            <a:rPr lang="en-CA" sz="1000" baseline="0">
              <a:solidFill>
                <a:schemeClr val="bg1"/>
              </a:solidFill>
            </a:rPr>
            <a:t>(example a pack of 6x355 pack enter 6, </a:t>
          </a:r>
          <a:r>
            <a:rPr lang="en-CA" sz="1000" b="1" baseline="0">
              <a:solidFill>
                <a:schemeClr val="bg1"/>
              </a:solidFill>
            </a:rPr>
            <a:t>single units enter 1</a:t>
          </a:r>
          <a:r>
            <a:rPr lang="en-CA" sz="1000" baseline="0">
              <a:solidFill>
                <a:schemeClr val="bg1"/>
              </a:solidFill>
            </a:rPr>
            <a:t>)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Enter Container type (if applicable)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Enter the Alcohol %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Product Ship point location (MBLL Distributed) - where MBLL is sourcing the product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Freight Zone - choose the appropriate freight zone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Duty type: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Customs</a:t>
          </a: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- MBLL to pick-up outside of Canada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Excise</a:t>
          </a: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- MBLL to pick-up within Canada, MBLL to clear Federal excise tax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Duty Paid</a:t>
          </a:r>
          <a:r>
            <a:rPr lang="en-CA" sz="10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MBLL to pick-up within Canada and Supplier to clear federal excise tax. All privately distributed products are Duty Paid and all Taproom only products are Duty Paid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0">
              <a:solidFill>
                <a:schemeClr val="bg1"/>
              </a:solidFill>
              <a:effectLst/>
            </a:rPr>
            <a:t>Enter</a:t>
          </a:r>
          <a:r>
            <a:rPr lang="en-CA" sz="1000" b="1">
              <a:solidFill>
                <a:schemeClr val="bg1"/>
              </a:solidFill>
              <a:effectLst/>
            </a:rPr>
            <a:t> Currency</a:t>
          </a:r>
          <a:r>
            <a:rPr lang="en-CA" sz="1000" b="1" baseline="0">
              <a:solidFill>
                <a:schemeClr val="bg1"/>
              </a:solidFill>
              <a:effectLst/>
            </a:rPr>
            <a:t> - </a:t>
          </a:r>
          <a:r>
            <a:rPr lang="en-CA" sz="1000" baseline="0">
              <a:solidFill>
                <a:schemeClr val="bg1"/>
              </a:solidFill>
              <a:effectLst/>
            </a:rPr>
            <a:t>select from Drop down list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endParaRPr lang="en-CA" sz="500" b="1" i="1" baseline="0">
            <a:solidFill>
              <a:schemeClr val="bg1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endParaRPr lang="en-CA" sz="1100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15</xdr:col>
      <xdr:colOff>31750</xdr:colOff>
      <xdr:row>0</xdr:row>
      <xdr:rowOff>25400</xdr:rowOff>
    </xdr:from>
    <xdr:to>
      <xdr:col>26</xdr:col>
      <xdr:colOff>0</xdr:colOff>
      <xdr:row>2</xdr:row>
      <xdr:rowOff>107950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A67D58C-EE0E-CF0E-564D-080130EC964D}"/>
            </a:ext>
          </a:extLst>
        </xdr:cNvPr>
        <xdr:cNvSpPr txBox="1"/>
      </xdr:nvSpPr>
      <xdr:spPr>
        <a:xfrm>
          <a:off x="10922000" y="25400"/>
          <a:ext cx="6673850" cy="6159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 i="0" u="sng">
              <a:solidFill>
                <a:schemeClr val="accent6">
                  <a:lumMod val="50000"/>
                </a:schemeClr>
              </a:solidFill>
            </a:rPr>
            <a:t>Disclaimer:</a:t>
          </a:r>
        </a:p>
        <a:p>
          <a:r>
            <a:rPr lang="en-CA" sz="1000" b="1" i="1">
              <a:solidFill>
                <a:schemeClr val="accent4">
                  <a:lumMod val="50000"/>
                </a:schemeClr>
              </a:solidFill>
            </a:rPr>
            <a:t>     </a:t>
          </a:r>
          <a:r>
            <a:rPr lang="en-CA" sz="1000" b="1" i="0">
              <a:solidFill>
                <a:schemeClr val="accent4">
                  <a:lumMod val="50000"/>
                </a:schemeClr>
              </a:solidFill>
            </a:rPr>
            <a:t>Trial Pricing Calculator </a:t>
          </a:r>
          <a:r>
            <a:rPr lang="en-CA" sz="1000" i="1">
              <a:solidFill>
                <a:schemeClr val="accent4">
                  <a:lumMod val="50000"/>
                </a:schemeClr>
              </a:solidFill>
            </a:rPr>
            <a:t>does not guarantee the final retail price.</a:t>
          </a:r>
          <a:r>
            <a:rPr lang="en-CA" sz="1000" i="1" baseline="0">
              <a:solidFill>
                <a:schemeClr val="accent4">
                  <a:lumMod val="50000"/>
                </a:schemeClr>
              </a:solidFill>
            </a:rPr>
            <a:t> Once processed, the retail price or cost may change.</a:t>
          </a:r>
        </a:p>
        <a:p>
          <a:r>
            <a:rPr lang="en-CA" sz="1000" b="1" i="1" baseline="0">
              <a:solidFill>
                <a:schemeClr val="accent4">
                  <a:lumMod val="50000"/>
                </a:schemeClr>
              </a:solidFill>
            </a:rPr>
            <a:t>     </a:t>
          </a:r>
          <a:r>
            <a:rPr lang="en-CA" sz="1000" b="1" i="0" baseline="0">
              <a:solidFill>
                <a:schemeClr val="accent4">
                  <a:lumMod val="50000"/>
                </a:schemeClr>
              </a:solidFill>
            </a:rPr>
            <a:t>Product Size: </a:t>
          </a:r>
          <a:r>
            <a:rPr lang="en-CA" sz="1000" i="1" baseline="0">
              <a:solidFill>
                <a:schemeClr val="accent4">
                  <a:lumMod val="50000"/>
                </a:schemeClr>
              </a:solidFill>
            </a:rPr>
            <a:t>The Trial Pricing Calculator is designed to price the most commonly used product sizes.</a:t>
          </a:r>
        </a:p>
        <a:p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bllpartners.ca/liquor-partners/liquor-agents-supplie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03458-9E83-428B-81C7-079379F3712A}">
  <sheetPr>
    <tabColor rgb="FFFF0000"/>
  </sheetPr>
  <dimension ref="A1:AA42"/>
  <sheetViews>
    <sheetView showGridLines="0" tabSelected="1" topLeftCell="A12" zoomScaleNormal="100" workbookViewId="0">
      <selection activeCell="E29" sqref="E29"/>
    </sheetView>
  </sheetViews>
  <sheetFormatPr defaultColWidth="0" defaultRowHeight="14.4" zeroHeight="1" x14ac:dyDescent="0.3"/>
  <cols>
    <col min="1" max="1" width="2.21875" style="182" customWidth="1"/>
    <col min="2" max="2" width="2.21875" style="165" customWidth="1"/>
    <col min="3" max="3" width="3.6640625" style="165" customWidth="1"/>
    <col min="4" max="4" width="32.88671875" style="165" customWidth="1"/>
    <col min="5" max="5" width="34.21875" style="165" bestFit="1" customWidth="1"/>
    <col min="6" max="6" width="3.6640625" style="165" customWidth="1"/>
    <col min="7" max="7" width="2.21875" style="165" customWidth="1"/>
    <col min="8" max="8" width="1.77734375" style="182" customWidth="1"/>
    <col min="9" max="9" width="2.21875" style="165" customWidth="1"/>
    <col min="10" max="10" width="3.6640625" style="165" customWidth="1"/>
    <col min="11" max="11" width="42.44140625" style="165" customWidth="1"/>
    <col min="12" max="12" width="16.77734375" style="165" customWidth="1"/>
    <col min="13" max="13" width="3.6640625" style="165" customWidth="1"/>
    <col min="14" max="14" width="2.21875" style="165" customWidth="1"/>
    <col min="15" max="15" width="2.21875" style="182" customWidth="1"/>
    <col min="16" max="26" width="8.77734375" style="165" customWidth="1"/>
    <col min="27" max="27" width="0" style="165" hidden="1" customWidth="1"/>
    <col min="28" max="16384" width="8.77734375" hidden="1"/>
  </cols>
  <sheetData>
    <row r="1" spans="1:15" ht="10.050000000000001" customHeight="1" x14ac:dyDescent="0.3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5" ht="32.4" x14ac:dyDescent="0.6">
      <c r="A2" s="164"/>
      <c r="B2" s="339" t="s">
        <v>676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164"/>
    </row>
    <row r="3" spans="1:15" ht="29.4" x14ac:dyDescent="0.55000000000000004">
      <c r="A3" s="164"/>
      <c r="B3" s="340" t="s">
        <v>1264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164"/>
    </row>
    <row r="4" spans="1:15" ht="25.8" x14ac:dyDescent="0.5">
      <c r="A4" s="164"/>
      <c r="B4" s="341" t="s">
        <v>1482</v>
      </c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164"/>
    </row>
    <row r="5" spans="1:15" ht="15" customHeight="1" thickBot="1" x14ac:dyDescent="0.5">
      <c r="A5" s="164"/>
      <c r="B5" s="166"/>
      <c r="C5" s="164"/>
      <c r="D5" s="167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</row>
    <row r="6" spans="1:15" ht="15" customHeight="1" x14ac:dyDescent="0.45">
      <c r="A6" s="164"/>
      <c r="B6" s="168"/>
      <c r="C6" s="169"/>
      <c r="D6" s="170"/>
      <c r="E6" s="171"/>
      <c r="F6" s="171"/>
      <c r="G6" s="172"/>
      <c r="H6" s="164"/>
      <c r="I6" s="168"/>
      <c r="J6" s="171"/>
      <c r="K6" s="171"/>
      <c r="L6" s="171"/>
      <c r="M6" s="171"/>
      <c r="N6" s="172"/>
      <c r="O6" s="164"/>
    </row>
    <row r="7" spans="1:15" ht="7.95" customHeight="1" x14ac:dyDescent="0.3">
      <c r="A7" s="164"/>
      <c r="B7" s="173"/>
      <c r="C7" s="295"/>
      <c r="D7" s="296"/>
      <c r="E7" s="296"/>
      <c r="F7" s="297"/>
      <c r="G7" s="174"/>
      <c r="H7" s="164"/>
      <c r="I7" s="173"/>
      <c r="J7" s="287"/>
      <c r="K7" s="288"/>
      <c r="L7" s="288"/>
      <c r="M7" s="289"/>
      <c r="N7" s="174"/>
      <c r="O7" s="164"/>
    </row>
    <row r="8" spans="1:15" ht="22.05" customHeight="1" x14ac:dyDescent="0.3">
      <c r="A8" s="164"/>
      <c r="B8" s="173"/>
      <c r="C8" s="298"/>
      <c r="D8" s="351" t="s">
        <v>1457</v>
      </c>
      <c r="E8" s="352"/>
      <c r="F8" s="303"/>
      <c r="G8" s="174"/>
      <c r="H8" s="164"/>
      <c r="I8" s="173"/>
      <c r="J8" s="290"/>
      <c r="K8" s="350" t="str">
        <f>IF(D9="","","Please Select from the Drop Down")</f>
        <v>Please Select from the Drop Down</v>
      </c>
      <c r="L8" s="350"/>
      <c r="M8" s="292"/>
      <c r="N8" s="174"/>
      <c r="O8" s="164"/>
    </row>
    <row r="9" spans="1:15" ht="21" customHeight="1" x14ac:dyDescent="0.3">
      <c r="A9" s="164"/>
      <c r="B9" s="173"/>
      <c r="C9" s="299"/>
      <c r="D9" s="345" t="s">
        <v>1485</v>
      </c>
      <c r="E9" s="346"/>
      <c r="F9" s="303"/>
      <c r="G9" s="174"/>
      <c r="H9" s="164"/>
      <c r="I9" s="173"/>
      <c r="J9" s="290"/>
      <c r="K9" s="328" t="s">
        <v>679</v>
      </c>
      <c r="L9" s="329">
        <v>60.1</v>
      </c>
      <c r="M9" s="292"/>
      <c r="N9" s="174"/>
      <c r="O9" s="164"/>
    </row>
    <row r="10" spans="1:15" ht="7.95" customHeight="1" x14ac:dyDescent="0.3">
      <c r="A10" s="164"/>
      <c r="B10" s="173"/>
      <c r="C10" s="300"/>
      <c r="D10" s="301"/>
      <c r="E10" s="301"/>
      <c r="F10" s="302"/>
      <c r="G10" s="174"/>
      <c r="H10" s="164"/>
      <c r="I10" s="173"/>
      <c r="J10" s="291"/>
      <c r="K10" s="294"/>
      <c r="L10" s="294"/>
      <c r="M10" s="293"/>
      <c r="N10" s="174"/>
      <c r="O10" s="164"/>
    </row>
    <row r="11" spans="1:15" ht="10.050000000000001" customHeight="1" x14ac:dyDescent="0.3">
      <c r="A11" s="164"/>
      <c r="B11" s="173"/>
      <c r="C11" s="175"/>
      <c r="D11" s="175"/>
      <c r="E11" s="175"/>
      <c r="F11" s="175"/>
      <c r="G11" s="174"/>
      <c r="H11" s="164"/>
      <c r="I11" s="173"/>
      <c r="J11" s="175"/>
      <c r="K11" s="175"/>
      <c r="L11" s="175"/>
      <c r="M11" s="175"/>
      <c r="N11" s="174"/>
      <c r="O11" s="164"/>
    </row>
    <row r="12" spans="1:15" ht="18" x14ac:dyDescent="0.35">
      <c r="A12" s="164"/>
      <c r="B12" s="173"/>
      <c r="C12" s="347" t="s">
        <v>677</v>
      </c>
      <c r="D12" s="348"/>
      <c r="E12" s="348"/>
      <c r="F12" s="349"/>
      <c r="G12" s="174"/>
      <c r="H12" s="164"/>
      <c r="I12" s="173"/>
      <c r="J12" s="342" t="s">
        <v>798</v>
      </c>
      <c r="K12" s="343"/>
      <c r="L12" s="343"/>
      <c r="M12" s="344"/>
      <c r="N12" s="174"/>
      <c r="O12" s="164"/>
    </row>
    <row r="13" spans="1:15" x14ac:dyDescent="0.3">
      <c r="A13" s="164"/>
      <c r="B13" s="173"/>
      <c r="C13" s="305"/>
      <c r="D13" s="306"/>
      <c r="E13" s="306"/>
      <c r="F13" s="307"/>
      <c r="G13" s="174"/>
      <c r="H13" s="164"/>
      <c r="I13" s="173"/>
      <c r="J13" s="277"/>
      <c r="K13" s="278"/>
      <c r="L13" s="278"/>
      <c r="M13" s="279"/>
      <c r="N13" s="174"/>
      <c r="O13" s="164"/>
    </row>
    <row r="14" spans="1:15" x14ac:dyDescent="0.3">
      <c r="A14" s="164"/>
      <c r="B14" s="173"/>
      <c r="C14" s="305"/>
      <c r="D14" s="308" t="str">
        <f>IF(D9="","","Product Category")</f>
        <v>Product Category</v>
      </c>
      <c r="E14" s="309" t="s">
        <v>693</v>
      </c>
      <c r="F14" s="307"/>
      <c r="G14" s="174"/>
      <c r="H14" s="164"/>
      <c r="I14" s="173"/>
      <c r="J14" s="277"/>
      <c r="K14" s="280" t="str">
        <f>IF(D9="","","Base Unit Price")</f>
        <v>Base Unit Price</v>
      </c>
      <c r="L14" s="281">
        <f>IF(D9="","",IFERROR(IF(AND(D9="MBLL DISTRIBUTION",'Trial Pricing Calculator'!K9="Retail Price"),SUM(Calculations!B3/Calculations!B6)*Calculations!B4,IF(AND('Trial Pricing Calculator'!D9="MBLL DISTRIBUTION",'Trial Pricing Calculator'!K9="Case Cost"),Calculations!A28,IF(D9="PRIVATE DISTRIBUTION",Calculations!B18,0))),0))</f>
        <v>14.1235</v>
      </c>
      <c r="M14" s="279"/>
      <c r="N14" s="174"/>
      <c r="O14" s="164"/>
    </row>
    <row r="15" spans="1:15" x14ac:dyDescent="0.3">
      <c r="A15" s="164"/>
      <c r="B15" s="173"/>
      <c r="C15" s="305"/>
      <c r="D15" s="308" t="str">
        <f>IF(D9="","","Sub-Type")</f>
        <v>Sub-Type</v>
      </c>
      <c r="E15" s="309" t="s">
        <v>738</v>
      </c>
      <c r="F15" s="307"/>
      <c r="G15" s="174"/>
      <c r="H15" s="164"/>
      <c r="I15" s="173"/>
      <c r="J15" s="277"/>
      <c r="K15" s="280" t="str">
        <f>IF(D9="MBLL DISTRIBUTION","Standard Freight rate/Liter","")</f>
        <v>Standard Freight rate/Liter</v>
      </c>
      <c r="L15" s="281">
        <f>IF(D9="","",IF(D9="PRIVATE DISTRIBUTION","",IFERROR(SUM(Calculations!B11*Calculations!B7),0)))</f>
        <v>0.88500000000000001</v>
      </c>
      <c r="M15" s="279"/>
      <c r="N15" s="174"/>
      <c r="O15" s="164"/>
    </row>
    <row r="16" spans="1:15" x14ac:dyDescent="0.3">
      <c r="A16" s="164"/>
      <c r="B16" s="173"/>
      <c r="C16" s="305"/>
      <c r="D16" s="308" t="str">
        <f>IF(D9="","","Micro Produced")</f>
        <v>Micro Produced</v>
      </c>
      <c r="E16" s="309" t="s">
        <v>712</v>
      </c>
      <c r="F16" s="307"/>
      <c r="G16" s="174"/>
      <c r="H16" s="164"/>
      <c r="I16" s="173"/>
      <c r="J16" s="277"/>
      <c r="K16" s="280" t="str">
        <f>IF(D9="MBLL DISTRIBUTION","Customs Duty","")</f>
        <v>Customs Duty</v>
      </c>
      <c r="L16" s="281">
        <f>IF(D9="","",IF(D9="PRIVATE DISTRIBUTION","",IF(E14="Spirit",Calculations!D4,IF(E14="Wine",Calculations!E4,IF(E14="Ready_to_Drink",Calculations!F4,IF(E14="Beer",Calculations!G4,0))))))</f>
        <v>0</v>
      </c>
      <c r="M16" s="279"/>
      <c r="N16" s="174"/>
      <c r="O16" s="164"/>
    </row>
    <row r="17" spans="1:15" x14ac:dyDescent="0.3">
      <c r="A17" s="164"/>
      <c r="B17" s="173"/>
      <c r="C17" s="305"/>
      <c r="D17" s="308" t="str">
        <f>IF(D9="MBLL DISTRIBUTION","Certificate of Origin","")</f>
        <v>Certificate of Origin</v>
      </c>
      <c r="E17" s="309" t="s">
        <v>712</v>
      </c>
      <c r="F17" s="307"/>
      <c r="G17" s="174"/>
      <c r="H17" s="164"/>
      <c r="I17" s="173"/>
      <c r="J17" s="277"/>
      <c r="K17" s="280" t="str">
        <f>IF(D9="MBLL DISTRIBUTION","Excise Duty","")</f>
        <v>Excise Duty</v>
      </c>
      <c r="L17" s="281">
        <f>IF(D9="","",IF(D9="PRIVATE DISTRIBUTION","",IF(E14="Spirit",Calculations!D7,IF(E14="Wine",Calculations!E7,IF(E14="Ready_to_Drink",Calculations!F7,IF(E14="Beer",Calculations!G7,0))))))</f>
        <v>4.0707000000000004</v>
      </c>
      <c r="M17" s="279"/>
      <c r="N17" s="174"/>
      <c r="O17" s="164"/>
    </row>
    <row r="18" spans="1:15" x14ac:dyDescent="0.3">
      <c r="A18" s="164"/>
      <c r="B18" s="173"/>
      <c r="C18" s="305"/>
      <c r="D18" s="310" t="str">
        <f>IF(D9="","",IF(D9="MBLL DISTRIBUTION","     Is this a Gift Pack?",""))</f>
        <v xml:space="preserve">     Is this a Gift Pack?</v>
      </c>
      <c r="E18" s="311" t="s">
        <v>712</v>
      </c>
      <c r="F18" s="307"/>
      <c r="G18" s="174"/>
      <c r="H18" s="164"/>
      <c r="I18" s="173"/>
      <c r="J18" s="277"/>
      <c r="K18" s="278" t="str">
        <f>IF(AND(D9="MBLL DISTRIBUTION",E14="Beer"),"Beer Extra Charge","")</f>
        <v/>
      </c>
      <c r="L18" s="333" t="str">
        <f>IF(K18="","",IF(E23="Keg",0,IF(AND(D9="MBLL DISTRIBUTION",E14="Beer",E23="Can"),ROUND(Calculations!M26/24,4)*Calculations!B9,IF(AND(D9="MBLL DISTRIBUTION",E14="Beer",E23="Bottle"),ROUND(Calculations!M28/24,4)*Calculations!B9,"0.0000"))))</f>
        <v/>
      </c>
      <c r="M18" s="279"/>
      <c r="N18" s="174"/>
      <c r="O18" s="164"/>
    </row>
    <row r="19" spans="1:15" x14ac:dyDescent="0.3">
      <c r="A19" s="164"/>
      <c r="B19" s="173"/>
      <c r="C19" s="305"/>
      <c r="D19" s="308"/>
      <c r="E19" s="309"/>
      <c r="F19" s="307"/>
      <c r="G19" s="174"/>
      <c r="H19" s="164"/>
      <c r="I19" s="173"/>
      <c r="J19" s="277"/>
      <c r="K19" s="278"/>
      <c r="L19" s="278"/>
      <c r="M19" s="279"/>
      <c r="N19" s="174"/>
      <c r="O19" s="164"/>
    </row>
    <row r="20" spans="1:15" x14ac:dyDescent="0.3">
      <c r="A20" s="164"/>
      <c r="B20" s="173"/>
      <c r="C20" s="305"/>
      <c r="D20" s="308" t="str">
        <f>IF(D9="","",IF(D9="MBLL DISTRIBUTION","Selling Units per Case (Case size)",""))</f>
        <v>Selling Units per Case (Case size)</v>
      </c>
      <c r="E20" s="312">
        <v>6</v>
      </c>
      <c r="F20" s="307"/>
      <c r="G20" s="174"/>
      <c r="H20" s="164"/>
      <c r="I20" s="173"/>
      <c r="J20" s="277"/>
      <c r="K20" s="280" t="str">
        <f>IF(D9="","",IF(AND(D9="PRIVATE DISTRIBUTION",E14="Beer"),"Markup (licensee)","Markup"))</f>
        <v>Markup</v>
      </c>
      <c r="L20" s="281">
        <f>IFERROR(IF(D9="","",(IF(AND(D9="MBLL DISTRIBUTION",E14="Spirit"),Calculations!D10,IF(AND(D9="MBLL DISTRIBUTION",E14="Wine"),Calculations!E10,IF(AND(D9="MBLL DISTRIBUTION",E14="Ready_to_Drink"),Calculations!F10,IF(AND(D9="MBLL DISTRIBUTION",E14="Beer"),Calculations!G10,IF(AND(D9="PRIVATE DISTRIBUTION",E14="Beer"),Calculations!O5,IF(AND(D9="PRIVATE DISTRIBUTION",E14="Ready_to_Drink"),Calculations!L5,0)))))))),0)</f>
        <v>29.191176000000002</v>
      </c>
      <c r="M20" s="279"/>
      <c r="N20" s="174"/>
      <c r="O20" s="164"/>
    </row>
    <row r="21" spans="1:15" x14ac:dyDescent="0.3">
      <c r="A21" s="164"/>
      <c r="B21" s="173"/>
      <c r="C21" s="305"/>
      <c r="D21" s="308" t="str">
        <f>IF(D9="","","Individual Container Size (Liter)")</f>
        <v>Individual Container Size (Liter)</v>
      </c>
      <c r="E21" s="309">
        <v>0.75</v>
      </c>
      <c r="F21" s="307"/>
      <c r="G21" s="174"/>
      <c r="H21" s="164"/>
      <c r="I21" s="173"/>
      <c r="J21" s="277"/>
      <c r="K21" s="280" t="str">
        <f>IF(D9="","","Per Package Surcharge")</f>
        <v>Per Package Surcharge</v>
      </c>
      <c r="L21" s="281">
        <f>IF(D9="","",(IF(E14="Spirit",Calculations!D13,IF(E14="Wine",Calculations!E13,IF(E14="Ready_to_Drink",Calculations!F13,IF(E14="Beer",Calculations!G13,0))))))</f>
        <v>1.0425</v>
      </c>
      <c r="M21" s="279"/>
      <c r="N21" s="174"/>
      <c r="O21" s="164"/>
    </row>
    <row r="22" spans="1:15" x14ac:dyDescent="0.3">
      <c r="A22" s="164"/>
      <c r="B22" s="173"/>
      <c r="C22" s="305"/>
      <c r="D22" s="327" t="str">
        <f>IF(D9="","","# of Individual containers per selling pack")</f>
        <v># of Individual containers per selling pack</v>
      </c>
      <c r="E22" s="309">
        <v>1</v>
      </c>
      <c r="F22" s="307"/>
      <c r="G22" s="174"/>
      <c r="H22" s="164"/>
      <c r="I22" s="173"/>
      <c r="J22" s="277"/>
      <c r="K22" s="280" t="str">
        <f>IF(D9="","","Equalization Charge")</f>
        <v>Equalization Charge</v>
      </c>
      <c r="L22" s="282">
        <f>IF(D9="","",IF(E14="Spirit",Calculations!D19,IF(E14="Wine",Calculations!E19,IF(E14="Ready_to_Drink",Calculations!F19,IF(E14="Beer",Calculations!G19,0)))))</f>
        <v>0</v>
      </c>
      <c r="M22" s="279"/>
      <c r="N22" s="174"/>
      <c r="O22" s="164"/>
    </row>
    <row r="23" spans="1:15" x14ac:dyDescent="0.3">
      <c r="A23" s="164"/>
      <c r="B23" s="173"/>
      <c r="C23" s="305"/>
      <c r="D23" s="319" t="str">
        <f>IF(D9="","","Container Type")</f>
        <v>Container Type</v>
      </c>
      <c r="E23" s="309" t="s">
        <v>406</v>
      </c>
      <c r="F23" s="307"/>
      <c r="G23" s="174"/>
      <c r="H23" s="164"/>
      <c r="I23" s="173"/>
      <c r="J23" s="277"/>
      <c r="K23" s="280" t="str">
        <f>IF(D9="MBLL DISTRIBUTION","Commercial Consideration","")</f>
        <v>Commercial Consideration</v>
      </c>
      <c r="L23" s="282">
        <f>IF(D9="","",IF(D9="PRIVATE DISTRIBUTION","",IF(E14="Spirit",Calculations!D16,IF(E14="Wine",Calculations!E16,IF(E14="Ready_to_Drink",Calculations!F16,IF(E14="Beer",Calculations!G16,0))))))</f>
        <v>0.28500000000000003</v>
      </c>
      <c r="M23" s="279"/>
      <c r="N23" s="174"/>
      <c r="O23" s="164"/>
    </row>
    <row r="24" spans="1:15" x14ac:dyDescent="0.3">
      <c r="A24" s="164"/>
      <c r="B24" s="173"/>
      <c r="C24" s="305"/>
      <c r="D24" s="308" t="str">
        <f>IF(D9="","","Alcohol Percent (%)")</f>
        <v>Alcohol Percent (%)</v>
      </c>
      <c r="E24" s="313">
        <v>0.4</v>
      </c>
      <c r="F24" s="307"/>
      <c r="G24" s="174"/>
      <c r="H24" s="164"/>
      <c r="I24" s="173"/>
      <c r="J24" s="277"/>
      <c r="K24" s="280" t="str">
        <f>IF(AND(D9="PRIVATE DISTRIBUTION",E14="Beer"),"Handling Charge","")</f>
        <v/>
      </c>
      <c r="L24" s="283" t="str">
        <f>IF(K24="","",IF(E23="Keg",0,IF(AND(D9="PRIVATE DISTRIBUTION",E14="Beer"),0.0283*Calculations!B9,"0.0000")))</f>
        <v/>
      </c>
      <c r="M24" s="279"/>
      <c r="N24" s="174"/>
      <c r="O24" s="164"/>
    </row>
    <row r="25" spans="1:15" x14ac:dyDescent="0.3">
      <c r="A25" s="164"/>
      <c r="B25" s="173"/>
      <c r="C25" s="305"/>
      <c r="D25" s="308"/>
      <c r="E25" s="309"/>
      <c r="F25" s="307"/>
      <c r="G25" s="174"/>
      <c r="H25" s="164"/>
      <c r="I25" s="173"/>
      <c r="J25" s="277"/>
      <c r="K25" s="280" t="str">
        <f>IF(D9="","",IF(E18="Yes","Add-On cost per unit",""))</f>
        <v/>
      </c>
      <c r="L25" s="326" t="str">
        <f>IF(D32="","",IF(D9="MBLL DISTRIBUTION",SUM(E32/Calculations!B6*Calculations!B4),IF('Trial Pricing Calculator'!D9="PRIVATE DISTRIBUTION",'Trial Pricing Calculator'!E32,"0.0000")))</f>
        <v/>
      </c>
      <c r="M25" s="279"/>
      <c r="N25" s="174"/>
      <c r="O25" s="164"/>
    </row>
    <row r="26" spans="1:15" x14ac:dyDescent="0.3">
      <c r="A26" s="164"/>
      <c r="B26" s="173"/>
      <c r="C26" s="305"/>
      <c r="D26" s="308" t="str">
        <f>IF(D9="MBLL DISTRIBUTION","Product Shipping Location","")</f>
        <v>Product Shipping Location</v>
      </c>
      <c r="E26" s="309" t="s">
        <v>714</v>
      </c>
      <c r="F26" s="307"/>
      <c r="G26" s="174"/>
      <c r="H26" s="164"/>
      <c r="I26" s="173"/>
      <c r="J26" s="277"/>
      <c r="K26" s="278"/>
      <c r="L26" s="278"/>
      <c r="M26" s="279"/>
      <c r="N26" s="174"/>
      <c r="O26" s="164"/>
    </row>
    <row r="27" spans="1:15" x14ac:dyDescent="0.3">
      <c r="A27" s="164"/>
      <c r="B27" s="173"/>
      <c r="C27" s="305"/>
      <c r="D27" s="308" t="str">
        <f>IF(D9="MBLL DISTRIBUTION","Freight Zone","")</f>
        <v>Freight Zone</v>
      </c>
      <c r="E27" s="314" t="s">
        <v>722</v>
      </c>
      <c r="F27" s="307"/>
      <c r="G27" s="174"/>
      <c r="H27" s="164"/>
      <c r="I27" s="173"/>
      <c r="J27" s="277"/>
      <c r="K27" s="278"/>
      <c r="L27" s="278"/>
      <c r="M27" s="279"/>
      <c r="N27" s="174"/>
      <c r="O27" s="164"/>
    </row>
    <row r="28" spans="1:15" ht="14.55" customHeight="1" x14ac:dyDescent="0.3">
      <c r="A28" s="164"/>
      <c r="B28" s="173"/>
      <c r="C28" s="305"/>
      <c r="D28" s="308" t="str">
        <f>IF(D9="","",IF(D9="MBLL DISTRIBUTION","Duty Type",""))</f>
        <v>Duty Type</v>
      </c>
      <c r="E28" s="309" t="s">
        <v>708</v>
      </c>
      <c r="F28" s="307"/>
      <c r="G28" s="174"/>
      <c r="H28" s="164"/>
      <c r="I28" s="173"/>
      <c r="J28" s="277"/>
      <c r="K28" s="278"/>
      <c r="L28" s="278"/>
      <c r="M28" s="279"/>
      <c r="N28" s="174"/>
      <c r="O28" s="164"/>
    </row>
    <row r="29" spans="1:15" ht="14.55" customHeight="1" x14ac:dyDescent="0.3">
      <c r="A29" s="164"/>
      <c r="B29" s="173"/>
      <c r="C29" s="305"/>
      <c r="D29" s="308" t="str">
        <f>IF(D9="","","Currency")</f>
        <v>Currency</v>
      </c>
      <c r="E29" s="309" t="s">
        <v>744</v>
      </c>
      <c r="F29" s="307"/>
      <c r="G29" s="174"/>
      <c r="H29" s="164"/>
      <c r="I29" s="173"/>
      <c r="J29" s="277"/>
      <c r="K29" s="278"/>
      <c r="L29" s="278"/>
      <c r="M29" s="279"/>
      <c r="N29" s="174"/>
      <c r="O29" s="164"/>
    </row>
    <row r="30" spans="1:15" ht="15" customHeight="1" x14ac:dyDescent="0.3">
      <c r="A30" s="164"/>
      <c r="B30" s="173"/>
      <c r="C30" s="305"/>
      <c r="D30" s="315"/>
      <c r="E30" s="316"/>
      <c r="F30" s="307"/>
      <c r="G30" s="174"/>
      <c r="H30" s="164"/>
      <c r="I30" s="173"/>
      <c r="J30" s="277"/>
      <c r="K30" s="278"/>
      <c r="L30" s="278"/>
      <c r="M30" s="279"/>
      <c r="N30" s="174"/>
      <c r="O30" s="164"/>
    </row>
    <row r="31" spans="1:15" ht="15" customHeight="1" x14ac:dyDescent="0.3">
      <c r="A31" s="164"/>
      <c r="B31" s="173"/>
      <c r="C31" s="305"/>
      <c r="D31" s="317"/>
      <c r="E31" s="318"/>
      <c r="F31" s="307"/>
      <c r="G31" s="174"/>
      <c r="H31" s="164"/>
      <c r="I31" s="173"/>
      <c r="J31" s="277"/>
      <c r="K31" s="278"/>
      <c r="L31" s="278"/>
      <c r="M31" s="279"/>
      <c r="N31" s="174"/>
      <c r="O31" s="164"/>
    </row>
    <row r="32" spans="1:15" ht="14.55" customHeight="1" x14ac:dyDescent="0.3">
      <c r="A32" s="164"/>
      <c r="B32" s="173"/>
      <c r="C32" s="305"/>
      <c r="D32" s="319" t="str">
        <f>IF(AND(D9="MBLL DISTRIBUTION",E18="Yes"),"     Total Add-on Cost per Case","")</f>
        <v/>
      </c>
      <c r="E32" s="318"/>
      <c r="F32" s="307"/>
      <c r="G32" s="174"/>
      <c r="H32" s="164"/>
      <c r="I32" s="173"/>
      <c r="J32" s="277"/>
      <c r="K32" s="278"/>
      <c r="L32" s="278"/>
      <c r="M32" s="279"/>
      <c r="N32" s="174"/>
      <c r="O32" s="164"/>
    </row>
    <row r="33" spans="1:26" ht="14.55" customHeight="1" x14ac:dyDescent="0.3">
      <c r="A33" s="164"/>
      <c r="B33" s="173"/>
      <c r="C33" s="305"/>
      <c r="D33" s="320" t="str">
        <f>IF(AND(D9="MBLL DISTRIBUTION",E18="Yes"),"Case Cost (Before Add-on Cost)   ","")</f>
        <v/>
      </c>
      <c r="E33" s="321" t="str">
        <f>IF(D33="","",IFERROR(IF(AND(D9="MBLL DISTRIBUTION",E18="Yes"),Calculations!B3,IF(AND(D9="PRIVATE DISTRIBUTION",E18="Yes",K9="Gross Price to Brewer"),SUM(L9-E32),SUM(E32+Calculations!B18))),0))</f>
        <v/>
      </c>
      <c r="F33" s="307"/>
      <c r="G33" s="174"/>
      <c r="H33" s="164"/>
      <c r="I33" s="173"/>
      <c r="J33" s="277"/>
      <c r="K33" s="278"/>
      <c r="L33" s="278"/>
      <c r="M33" s="279"/>
      <c r="N33" s="174"/>
      <c r="O33" s="164"/>
    </row>
    <row r="34" spans="1:26" x14ac:dyDescent="0.3">
      <c r="A34" s="164"/>
      <c r="B34" s="173"/>
      <c r="C34" s="305"/>
      <c r="D34" s="317"/>
      <c r="E34" s="318"/>
      <c r="F34" s="307"/>
      <c r="G34" s="174"/>
      <c r="H34" s="164"/>
      <c r="I34" s="173"/>
      <c r="J34" s="277"/>
      <c r="K34" s="278"/>
      <c r="L34" s="278"/>
      <c r="M34" s="279"/>
      <c r="N34" s="174"/>
      <c r="O34" s="164"/>
    </row>
    <row r="35" spans="1:26" ht="10.050000000000001" customHeight="1" x14ac:dyDescent="0.3">
      <c r="A35" s="164"/>
      <c r="B35" s="173"/>
      <c r="C35" s="322"/>
      <c r="D35" s="323"/>
      <c r="E35" s="324"/>
      <c r="F35" s="325"/>
      <c r="G35" s="174"/>
      <c r="H35" s="164"/>
      <c r="I35" s="173"/>
      <c r="J35" s="284"/>
      <c r="K35" s="285"/>
      <c r="L35" s="285"/>
      <c r="M35" s="286"/>
      <c r="N35" s="174"/>
      <c r="O35" s="164"/>
    </row>
    <row r="36" spans="1:26" ht="15" thickBot="1" x14ac:dyDescent="0.35">
      <c r="A36" s="164"/>
      <c r="B36" s="176"/>
      <c r="C36" s="177"/>
      <c r="D36" s="177"/>
      <c r="E36" s="178"/>
      <c r="F36" s="178"/>
      <c r="G36" s="179"/>
      <c r="H36" s="164"/>
      <c r="I36" s="173"/>
      <c r="J36" s="175"/>
      <c r="K36" s="175"/>
      <c r="L36" s="175"/>
      <c r="M36" s="175"/>
      <c r="N36" s="174"/>
      <c r="O36" s="164"/>
    </row>
    <row r="37" spans="1:26" ht="10.050000000000001" customHeight="1" thickBot="1" x14ac:dyDescent="0.35">
      <c r="A37" s="164"/>
      <c r="B37" s="168"/>
      <c r="C37" s="171"/>
      <c r="D37" s="171"/>
      <c r="E37" s="171"/>
      <c r="F37" s="171"/>
      <c r="G37" s="172"/>
      <c r="H37" s="164"/>
      <c r="I37" s="173"/>
      <c r="J37" s="175"/>
      <c r="K37" s="175"/>
      <c r="L37" s="175"/>
      <c r="M37" s="175"/>
      <c r="N37" s="174"/>
      <c r="O37" s="164"/>
    </row>
    <row r="38" spans="1:26" ht="34.950000000000003" customHeight="1" thickBot="1" x14ac:dyDescent="0.35">
      <c r="A38" s="164"/>
      <c r="B38" s="173"/>
      <c r="C38" s="180"/>
      <c r="D38" s="267" t="s">
        <v>1446</v>
      </c>
      <c r="E38" s="214">
        <f>IF(AND(D9="MBLL DISTRIBUTION",E18="Yes"),Calculations!B15,Calculations!B17)</f>
        <v>49.6</v>
      </c>
      <c r="F38" s="215"/>
      <c r="G38" s="174"/>
      <c r="H38" s="164"/>
      <c r="I38" s="173"/>
      <c r="J38" s="175"/>
      <c r="K38" s="195" t="str">
        <f>IF(E14="Beer","Licensee/Vendor Price                                       (before taxes and deposit)","")</f>
        <v/>
      </c>
      <c r="L38" s="216" t="str">
        <f>IF(AND(D9="MBLL DISTRIBUTION",E14="Beer",'Trial Pricing Calculator'!K9="Retail Price"),Calculations!I32,IF(AND(D9="MBLL DISTRIBUTION",E14="Beer",'Trial Pricing Calculator'!K9="Case Cost"),Calculations!G28,IF(AND('Trial Pricing Calculator'!D9="PRIVATE DISTRIBUTION",'Trial Pricing Calculator'!E14="Beer"),Calculations!B19,"")))</f>
        <v/>
      </c>
      <c r="M38" s="175"/>
      <c r="N38" s="174"/>
      <c r="O38" s="164"/>
    </row>
    <row r="39" spans="1:26" ht="10.050000000000001" customHeight="1" thickBot="1" x14ac:dyDescent="0.35">
      <c r="A39" s="164"/>
      <c r="B39" s="173"/>
      <c r="C39" s="175"/>
      <c r="D39" s="175"/>
      <c r="E39" s="175"/>
      <c r="F39" s="180"/>
      <c r="G39" s="174"/>
      <c r="H39" s="164"/>
      <c r="I39" s="173"/>
      <c r="J39" s="175"/>
      <c r="K39" s="175"/>
      <c r="L39" s="175"/>
      <c r="M39" s="175"/>
      <c r="N39" s="174"/>
      <c r="O39" s="164"/>
    </row>
    <row r="40" spans="1:26" ht="30" customHeight="1" thickBot="1" x14ac:dyDescent="0.35">
      <c r="A40" s="164"/>
      <c r="B40" s="173"/>
      <c r="C40" s="175"/>
      <c r="D40" s="268" t="s">
        <v>956</v>
      </c>
      <c r="E40" s="213">
        <f>IFERROR(IF(E14="Spirit",Calculations!J22,IF(E14="Wine",Calculations!K22,IF(E14="Ready_to_Drink",Calculations!L22,IF(E14="Beer",Calculations!M22,0)))),0)</f>
        <v>22.306887513455333</v>
      </c>
      <c r="F40" s="215"/>
      <c r="G40" s="174"/>
      <c r="H40" s="164"/>
      <c r="I40" s="173"/>
      <c r="J40" s="175"/>
      <c r="K40" s="223" t="str">
        <f>IF(D9="","",IF(AND(D9="MBLL DISTRIBUTION",E18="Yes"),"Final Case Cost",IF(AND(D9="MBLL DISTRIBUTION",OR(E18="No",E18="")),"Case Cost",IF(D9="PRIVATE DISTRIBUTION","Gross Price to Brewer",""))))</f>
        <v>Case Cost</v>
      </c>
      <c r="L40" s="266">
        <f>IFERROR(IF(D9="","",IF(AND(D9="MBLL DISTRIBUTION",OR(E18="",E18="No")),ROUND(Calculations!B3,2),IF(AND(D9="MBLL DISTRIBUTION",E18="Yes",K9="Retail Price"),ROUND(Calculations!B3+'Trial Pricing Calculator'!E32,2),IF(AND(D9="MBLL DISTRIBUTION",E18="Yes",K9="Case Cost"),ROUND(Calculations!B3+E32,2),IF(AND('Trial Pricing Calculator'!D9="PRIVATE DISTRIBUTION",E18="Yes"),ROUND(Calculations!B18+E32,2),IF(AND('Trial Pricing Calculator'!D9="PRIVATE DISTRIBUTION",OR(E18="",E18="No")),ROUND(Calculations!B18,2),0)))))),"")</f>
        <v>60.1</v>
      </c>
      <c r="M40" s="175"/>
      <c r="N40" s="174"/>
      <c r="O40" s="164"/>
      <c r="P40" s="330"/>
      <c r="Q40" s="330"/>
      <c r="R40" s="330"/>
      <c r="S40" s="330"/>
      <c r="T40" s="330"/>
      <c r="U40" s="330"/>
      <c r="V40" s="330"/>
      <c r="W40" s="330"/>
      <c r="X40" s="330"/>
      <c r="Y40" s="330"/>
      <c r="Z40" s="330"/>
    </row>
    <row r="41" spans="1:26" ht="15" thickBot="1" x14ac:dyDescent="0.35">
      <c r="A41" s="164"/>
      <c r="B41" s="176"/>
      <c r="C41" s="178"/>
      <c r="D41" s="178"/>
      <c r="E41" s="178"/>
      <c r="F41" s="178"/>
      <c r="G41" s="181"/>
      <c r="H41" s="164"/>
      <c r="I41" s="176"/>
      <c r="J41" s="178"/>
      <c r="K41" s="178"/>
      <c r="L41" s="178"/>
      <c r="M41" s="178"/>
      <c r="N41" s="181"/>
      <c r="O41" s="164"/>
      <c r="P41" s="334" t="s">
        <v>1464</v>
      </c>
      <c r="Q41" s="330"/>
      <c r="R41" s="330"/>
      <c r="S41" s="330"/>
      <c r="T41" s="330"/>
      <c r="U41" s="330"/>
      <c r="V41" s="331" t="s">
        <v>1463</v>
      </c>
      <c r="W41" s="330"/>
      <c r="X41" s="330"/>
      <c r="Y41" s="330"/>
      <c r="Z41" s="330"/>
    </row>
    <row r="42" spans="1:26" ht="10.050000000000001" customHeight="1" x14ac:dyDescent="0.3">
      <c r="A42" s="164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330"/>
      <c r="Q42" s="330"/>
      <c r="R42" s="330"/>
      <c r="S42" s="330"/>
      <c r="T42" s="330"/>
      <c r="U42" s="330"/>
      <c r="V42" s="330"/>
      <c r="W42" s="330"/>
      <c r="X42" s="330"/>
      <c r="Y42" s="330"/>
      <c r="Z42" s="330"/>
    </row>
  </sheetData>
  <sheetProtection algorithmName="SHA-512" hashValue="Y5JjUfH82tPFx2UGOGAegOPWOsURb3eFSNFrAf5iw6NVEGjqsTPWI6cSGssSw7Ku3maKGrJwcLv2TLpIGxjzkg==" saltValue="gfVfl3dcbtO6UIofhaMUiw==" spinCount="100000" sheet="1" objects="1" scenarios="1" selectLockedCells="1"/>
  <mergeCells count="8">
    <mergeCell ref="B2:N2"/>
    <mergeCell ref="B3:N3"/>
    <mergeCell ref="B4:N4"/>
    <mergeCell ref="J12:M12"/>
    <mergeCell ref="D9:E9"/>
    <mergeCell ref="C12:F12"/>
    <mergeCell ref="K8:L8"/>
    <mergeCell ref="D8:E8"/>
  </mergeCells>
  <conditionalFormatting sqref="D9">
    <cfRule type="containsText" dxfId="69" priority="79" operator="containsText" text="PRIVATE DISTRIBUTION">
      <formula>NOT(ISERROR(SEARCH("PRIVATE DISTRIBUTION",D9)))</formula>
    </cfRule>
    <cfRule type="containsText" dxfId="68" priority="80" operator="containsText" text="MBLL DISTRIBUTION">
      <formula>NOT(ISERROR(SEARCH("MBLL DISTRIBUTION",D9)))</formula>
    </cfRule>
  </conditionalFormatting>
  <conditionalFormatting sqref="E14">
    <cfRule type="expression" dxfId="67" priority="77">
      <formula>$D$9="PRIVATE DISTRIBUTION"</formula>
    </cfRule>
    <cfRule type="expression" dxfId="66" priority="78">
      <formula>$D$9="MBLL DISTRIBUTION"</formula>
    </cfRule>
  </conditionalFormatting>
  <conditionalFormatting sqref="E15">
    <cfRule type="expression" dxfId="65" priority="75">
      <formula>$D$9="PRIVATE DISTRIBUTION"</formula>
    </cfRule>
    <cfRule type="expression" dxfId="64" priority="76">
      <formula>$D$9="MBLL DISTRIBUTION"</formula>
    </cfRule>
  </conditionalFormatting>
  <conditionalFormatting sqref="E16">
    <cfRule type="expression" dxfId="63" priority="73">
      <formula>$D$9="PRIVATE DISTRIBUTION"</formula>
    </cfRule>
    <cfRule type="expression" dxfId="62" priority="74">
      <formula>$D$9="MBLL DISTRIBUTION"</formula>
    </cfRule>
  </conditionalFormatting>
  <conditionalFormatting sqref="E20">
    <cfRule type="expression" dxfId="61" priority="71">
      <formula>$D$9="MBLL DISTRIBUTION"</formula>
    </cfRule>
  </conditionalFormatting>
  <conditionalFormatting sqref="E21">
    <cfRule type="expression" dxfId="60" priority="68">
      <formula>$D$9="PRIVATE DISTRIBUTION"</formula>
    </cfRule>
    <cfRule type="expression" dxfId="59" priority="69">
      <formula>$D$9="MBLL DISTRIBUTION"</formula>
    </cfRule>
  </conditionalFormatting>
  <conditionalFormatting sqref="E22">
    <cfRule type="expression" dxfId="58" priority="66">
      <formula>$D$9="MBLL DISTRIBUTION"</formula>
    </cfRule>
    <cfRule type="expression" dxfId="57" priority="67">
      <formula>$D$9="PRIVATE DISTRIBUTION"</formula>
    </cfRule>
  </conditionalFormatting>
  <conditionalFormatting sqref="E23">
    <cfRule type="expression" dxfId="56" priority="64">
      <formula>$D$9="MBLL DISTRIBUTION"</formula>
    </cfRule>
    <cfRule type="expression" dxfId="55" priority="65">
      <formula>$D$9="PRIVATE DISTRIBUTION"</formula>
    </cfRule>
  </conditionalFormatting>
  <conditionalFormatting sqref="E24">
    <cfRule type="expression" dxfId="54" priority="62">
      <formula>$D$9="MBLL DISTRIBUTION"</formula>
    </cfRule>
    <cfRule type="expression" dxfId="53" priority="63">
      <formula>$D$9="PRIVATE DISTRIBUTION"</formula>
    </cfRule>
  </conditionalFormatting>
  <conditionalFormatting sqref="E18">
    <cfRule type="expression" dxfId="52" priority="56">
      <formula>$D$9="MBLL DISTRIBUTION"</formula>
    </cfRule>
  </conditionalFormatting>
  <conditionalFormatting sqref="K38">
    <cfRule type="expression" dxfId="51" priority="52">
      <formula>$E$14="Beer"</formula>
    </cfRule>
  </conditionalFormatting>
  <conditionalFormatting sqref="L38">
    <cfRule type="expression" dxfId="50" priority="51">
      <formula>$E$14="Beer"</formula>
    </cfRule>
  </conditionalFormatting>
  <conditionalFormatting sqref="E26">
    <cfRule type="expression" dxfId="49" priority="49">
      <formula>$D$9="MBLL DISTRIBUTION"</formula>
    </cfRule>
  </conditionalFormatting>
  <conditionalFormatting sqref="E27">
    <cfRule type="expression" dxfId="48" priority="47">
      <formula>$D$9="MBLL DISTRIBUTION"</formula>
    </cfRule>
  </conditionalFormatting>
  <conditionalFormatting sqref="E28">
    <cfRule type="expression" dxfId="47" priority="46">
      <formula>$D$9="MBLL DISTRIBUTION"</formula>
    </cfRule>
  </conditionalFormatting>
  <conditionalFormatting sqref="K40">
    <cfRule type="expression" dxfId="46" priority="23">
      <formula>$D$9="MBLL DISTRIBUTION"</formula>
    </cfRule>
    <cfRule type="expression" dxfId="45" priority="24">
      <formula>$D$9="PRIVATE DISTRIBUTION"</formula>
    </cfRule>
  </conditionalFormatting>
  <conditionalFormatting sqref="L40">
    <cfRule type="expression" dxfId="44" priority="21">
      <formula>$D$9="PRIVATE DISTRIBUTION"</formula>
    </cfRule>
    <cfRule type="expression" dxfId="43" priority="22">
      <formula>$D$9="MBLL DISTRIBUTION"</formula>
    </cfRule>
  </conditionalFormatting>
  <conditionalFormatting sqref="K9">
    <cfRule type="expression" dxfId="42" priority="4">
      <formula>$D$9="PRIVATE DISTRIBUTION"</formula>
    </cfRule>
    <cfRule type="expression" dxfId="41" priority="11">
      <formula>$D$9="MBLL DISTRIBUTION"</formula>
    </cfRule>
  </conditionalFormatting>
  <conditionalFormatting sqref="L9">
    <cfRule type="expression" dxfId="40" priority="3">
      <formula>$D$9="PRIVATE DISTRIBUTION"</formula>
    </cfRule>
    <cfRule type="expression" dxfId="39" priority="10">
      <formula>$D$9="MBLL DISTRIBUTION"</formula>
    </cfRule>
  </conditionalFormatting>
  <conditionalFormatting sqref="K8:L8">
    <cfRule type="expression" dxfId="38" priority="5">
      <formula>$D$9="PRIVATE DISTRIBUTION"</formula>
    </cfRule>
    <cfRule type="expression" dxfId="37" priority="9">
      <formula>$D$9="MBLL DISTRIBUTION"</formula>
    </cfRule>
  </conditionalFormatting>
  <conditionalFormatting sqref="E17">
    <cfRule type="expression" dxfId="36" priority="8">
      <formula>$D$9="MBLL DISTRIBUTION"</formula>
    </cfRule>
  </conditionalFormatting>
  <conditionalFormatting sqref="E29">
    <cfRule type="expression" dxfId="35" priority="6">
      <formula>$D$9="MBLL DISTRIBUTION"</formula>
    </cfRule>
    <cfRule type="expression" dxfId="34" priority="7">
      <formula>$D$9="PRIVATE DISTRIBUTION"</formula>
    </cfRule>
  </conditionalFormatting>
  <conditionalFormatting sqref="E32">
    <cfRule type="expression" dxfId="33" priority="2">
      <formula>$E$18="Yes"</formula>
    </cfRule>
  </conditionalFormatting>
  <conditionalFormatting sqref="E33">
    <cfRule type="expression" dxfId="32" priority="1">
      <formula>$E$18="Yes"</formula>
    </cfRule>
  </conditionalFormatting>
  <dataValidations count="14">
    <dataValidation type="list" allowBlank="1" showInputMessage="1" showErrorMessage="1" sqref="D9:E9" xr:uid="{9EE89335-2E38-49FF-AF0E-F2F0A11684DF}">
      <formula1>"MBLL DISTRIBUTION,PRIVATE DISTRIBUTION"</formula1>
    </dataValidation>
    <dataValidation type="list" allowBlank="1" showInputMessage="1" showErrorMessage="1" sqref="E14" xr:uid="{79C354C4-370C-4B22-8C7F-E3B05E9C5C6F}">
      <formula1>IF(D9="MBLL DISTRIBUTION",MBLL_Product_Category,Private_Product_Category)</formula1>
    </dataValidation>
    <dataValidation type="list" allowBlank="1" showInputMessage="1" showErrorMessage="1" sqref="E15" xr:uid="{8C85DAAA-7D81-45F6-94C4-99983306FE33}">
      <formula1>IF(E14="","",IF(E14="Spirit",Spirit,IF(E14="Wine",Wine,IF(E14="Ready_to_Drink",Ready_to_Drink,IF(E14="Beer",Beer,"")))))</formula1>
    </dataValidation>
    <dataValidation type="list" allowBlank="1" showInputMessage="1" showErrorMessage="1" sqref="E16" xr:uid="{D5D9E9D1-58CF-4BC4-88FA-B1DE29140486}">
      <formula1>"Yes,No"</formula1>
    </dataValidation>
    <dataValidation type="list" allowBlank="1" showInputMessage="1" showErrorMessage="1" sqref="E23" xr:uid="{03520251-FB27-4F2D-889D-468D5A1D4644}">
      <formula1>"Can,Bottle,Keg"</formula1>
    </dataValidation>
    <dataValidation type="list" allowBlank="1" showInputMessage="1" showErrorMessage="1" sqref="E27" xr:uid="{9E32AE92-F6E3-4E38-8FC8-1CFF78FD019B}">
      <formula1>IF($E$26="Canada",Canada,IF($E$26="USA",USA,IF($E$26="International",International,"")))</formula1>
    </dataValidation>
    <dataValidation type="list" allowBlank="1" showInputMessage="1" showErrorMessage="1" sqref="E28" xr:uid="{2F48F1CC-5B7E-4470-A7E1-333E92943B1F}">
      <formula1>IF($E$26="Canada",CanadaF,IF(E26="Private Distributor",Private_Distribution,InternationalF))</formula1>
    </dataValidation>
    <dataValidation type="list" allowBlank="1" showInputMessage="1" showErrorMessage="1" sqref="E29" xr:uid="{2E1FDAB3-D92C-4E89-A98D-399EF0E0292A}">
      <formula1>Currency</formula1>
    </dataValidation>
    <dataValidation type="list" allowBlank="1" showInputMessage="1" showErrorMessage="1" sqref="E18" xr:uid="{70ED591E-C721-472C-A93E-F0D793E84C6F}">
      <formula1>"No,Yes"</formula1>
    </dataValidation>
    <dataValidation type="whole" allowBlank="1" showErrorMessage="1" error="Please input the number of units per case" promptTitle="Units per Case" prompt="Please put number of units per case" sqref="E20" xr:uid="{543DED24-5232-4E86-8775-6F42312CBCF9}">
      <formula1>1</formula1>
      <formula2>9999</formula2>
    </dataValidation>
    <dataValidation type="whole" allowBlank="1" showInputMessage="1" showErrorMessage="1" error="Please input the number of units in a selling package" sqref="E22" xr:uid="{7712D560-F6A7-498F-AD65-E52B209E99D4}">
      <formula1>1</formula1>
      <formula2>9999</formula2>
    </dataValidation>
    <dataValidation type="list" allowBlank="1" showInputMessage="1" showErrorMessage="1" sqref="E17" xr:uid="{D4F54F73-7A36-498B-B23D-B2DBFF6DAC6E}">
      <formula1>IF($D$9="MBLL DISTRIBUTION",Certificate_of_Origin,"")</formula1>
    </dataValidation>
    <dataValidation type="list" allowBlank="1" showInputMessage="1" showErrorMessage="1" sqref="E26" xr:uid="{FF199249-B4BF-4371-8925-7ECD6B0F5F9F}">
      <formula1>IF($D$9="MBLL DISTRIBUTION",Freight,"")</formula1>
    </dataValidation>
    <dataValidation type="list" allowBlank="1" showInputMessage="1" showErrorMessage="1" sqref="K9" xr:uid="{E2A8E296-BFD6-44AD-8CDF-2EFAC74AA83A}">
      <formula1>IF(AND(D9="PRIVATE DISTRIBUTION",E14="Beer"),Private_Distribution_Beer,IF(AND(D9="PRIVATE DISTRIBUTION",E14="Ready_to_Drink"),Private_Distribution_RTD,IF(D9="MBLL DISTRIBUTION",Select,"")))</formula1>
    </dataValidation>
  </dataValidations>
  <hyperlinks>
    <hyperlink ref="V41" r:id="rId1" display="*Please refer to the Pricing Information Manual that can be found on MBLL Partners website: " xr:uid="{4938B2F8-7B66-4EDE-9A01-22BCF4A0CF6B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AJ258"/>
  <sheetViews>
    <sheetView zoomScaleNormal="100" workbookViewId="0">
      <selection activeCell="N22" sqref="N22"/>
    </sheetView>
  </sheetViews>
  <sheetFormatPr defaultRowHeight="14.4" x14ac:dyDescent="0.3"/>
  <cols>
    <col min="1" max="1" width="26.33203125" customWidth="1"/>
    <col min="2" max="2" width="14.33203125" customWidth="1"/>
    <col min="4" max="5" width="16.77734375" customWidth="1"/>
    <col min="6" max="6" width="18.5546875" customWidth="1"/>
    <col min="7" max="7" width="16.77734375" customWidth="1"/>
    <col min="8" max="8" width="16.6640625" customWidth="1"/>
    <col min="9" max="9" width="23.21875" customWidth="1"/>
    <col min="10" max="14" width="14.77734375" bestFit="1" customWidth="1"/>
    <col min="15" max="15" width="12.6640625" customWidth="1"/>
    <col min="16" max="16" width="24.21875" bestFit="1" customWidth="1"/>
    <col min="17" max="17" width="5.77734375" bestFit="1" customWidth="1"/>
    <col min="18" max="18" width="7.77734375" bestFit="1" customWidth="1"/>
  </cols>
  <sheetData>
    <row r="1" spans="1:36" x14ac:dyDescent="0.3">
      <c r="A1" s="135" t="s">
        <v>798</v>
      </c>
      <c r="P1" t="s">
        <v>1407</v>
      </c>
      <c r="U1" s="354" t="s">
        <v>1415</v>
      </c>
      <c r="V1" s="354"/>
      <c r="W1" s="354"/>
      <c r="X1" s="354"/>
      <c r="Y1" s="354"/>
      <c r="Z1" s="354"/>
      <c r="AC1" s="234" t="s">
        <v>1415</v>
      </c>
      <c r="AD1" s="234"/>
      <c r="AE1" s="234"/>
      <c r="AF1" s="234"/>
      <c r="AG1" s="235"/>
      <c r="AH1" s="234" t="s">
        <v>1435</v>
      </c>
      <c r="AI1" s="234"/>
      <c r="AJ1" s="234"/>
    </row>
    <row r="2" spans="1:36" x14ac:dyDescent="0.3">
      <c r="D2" s="362" t="s">
        <v>708</v>
      </c>
      <c r="E2" s="363"/>
      <c r="F2" s="363"/>
      <c r="G2" s="364"/>
      <c r="J2" s="359" t="s">
        <v>682</v>
      </c>
      <c r="K2" s="360"/>
      <c r="L2" s="360"/>
      <c r="M2" s="360"/>
      <c r="N2" s="361"/>
      <c r="O2" s="194"/>
      <c r="S2">
        <v>1</v>
      </c>
      <c r="U2" s="196" t="s">
        <v>669</v>
      </c>
      <c r="V2" s="196"/>
      <c r="W2" s="196"/>
      <c r="X2" s="196"/>
      <c r="Y2" s="196"/>
      <c r="Z2" s="196"/>
      <c r="AC2" s="236"/>
      <c r="AD2" s="236"/>
      <c r="AE2" s="237"/>
      <c r="AF2" s="237"/>
      <c r="AG2" s="235"/>
      <c r="AH2" s="235"/>
      <c r="AI2" s="235"/>
      <c r="AJ2" s="235"/>
    </row>
    <row r="3" spans="1:36" x14ac:dyDescent="0.3">
      <c r="A3" s="157" t="s">
        <v>679</v>
      </c>
      <c r="B3" s="224">
        <f>IF(AND('Trial Pricing Calculator'!D9="MBLL DISTRIBUTION",'Trial Pricing Calculator'!K9="Case Cost"),'Trial Pricing Calculator'!L9,IF(AND('Trial Pricing Calculator'!D9="MBLL DISTRIBUTION",'Trial Pricing Calculator'!K9="Retail Price"),ROUND(SUM(Calculations!A32*Calculations!B6/B4),2),""))</f>
        <v>60.1</v>
      </c>
      <c r="D3" s="33" t="s">
        <v>693</v>
      </c>
      <c r="E3" s="34" t="s">
        <v>673</v>
      </c>
      <c r="F3" s="34" t="s">
        <v>694</v>
      </c>
      <c r="G3" s="35" t="s">
        <v>669</v>
      </c>
      <c r="J3" s="367" t="s">
        <v>693</v>
      </c>
      <c r="K3" s="365" t="s">
        <v>673</v>
      </c>
      <c r="L3" s="365" t="s">
        <v>694</v>
      </c>
      <c r="M3" s="365" t="s">
        <v>695</v>
      </c>
      <c r="N3" s="366" t="s">
        <v>696</v>
      </c>
      <c r="O3" s="355" t="s">
        <v>1408</v>
      </c>
      <c r="P3" t="s">
        <v>1403</v>
      </c>
      <c r="Q3">
        <v>0</v>
      </c>
      <c r="R3">
        <v>1</v>
      </c>
      <c r="S3">
        <v>1.5228999999999999</v>
      </c>
      <c r="U3" s="196" t="s">
        <v>1416</v>
      </c>
      <c r="V3" s="196" t="s">
        <v>1417</v>
      </c>
      <c r="W3" s="196"/>
      <c r="X3" s="196" t="s">
        <v>682</v>
      </c>
      <c r="Y3" s="196"/>
      <c r="Z3" s="196" t="s">
        <v>9</v>
      </c>
      <c r="AC3" s="368" t="s">
        <v>666</v>
      </c>
      <c r="AD3" s="369"/>
      <c r="AE3" s="369"/>
      <c r="AF3" s="370"/>
      <c r="AG3" s="235"/>
      <c r="AH3" s="368" t="s">
        <v>666</v>
      </c>
      <c r="AI3" s="369"/>
      <c r="AJ3" s="370"/>
    </row>
    <row r="4" spans="1:36" x14ac:dyDescent="0.3">
      <c r="A4" s="158" t="s">
        <v>680</v>
      </c>
      <c r="B4" s="159">
        <f>IFERROR(VLOOKUP('Trial Pricing Calculator'!E29,Freight_Exch_Excise!K:L,2,0),1)</f>
        <v>1.41</v>
      </c>
      <c r="D4" s="64">
        <f>IF(OR('Trial Pricing Calculator'!E28="",'Trial Pricing Calculator'!E28="Excise",'Trial Pricing Calculator'!E28="Duty Paid",'Trial Pricing Calculator'!E17="Yes",'Trial Pricing Calculator'!E26="Canada",'Trial Pricing Calculator'!E15="Tequila",'Trial Pricing Calculator'!E15="Brandy/Cognac",'Trial Pricing Calculator'!E15="Whisk(e)y"),0,IF('Trial Pricing Calculator'!E15="Gin",(Calculations!B8*(Calculations!B5/1000)*0.0492)*0.01,IF('Trial Pricing Calculator'!E15="Rum",(Calculations!B8*(Calculations!B5/1000)*0.2456)*0.01,IF('Trial Pricing Calculator'!E15="Vodka",(Calculations!B8*(Calculations!B5/1000)*0.1228)*0.01,IF('Trial Pricing Calculator'!E15="Liqueur",(Calculations!B8*(Calculations!B5/1000)*0.1228)*0.01,IF('Trial Pricing Calculator'!E15="Miscellaneous Spirit",(Calculations!B8*(Calculations!B5/1000)*0.1228)*0.01,0))))))</f>
        <v>0</v>
      </c>
      <c r="E4" s="65">
        <f>IF(OR('Trial Pricing Calculator'!E28="",'Trial Pricing Calculator'!E28="Excise",'Trial Pricing Calculator'!E28="Duty Paid",'Trial Pricing Calculator'!E15="Sake",'Trial Pricing Calculator'!E17="Yes",'Trial Pricing Calculator'!E15="Sparkling Wine",Calculations!B7&gt;2,Calculations!B5&gt;19.9),0,IF(AND(B5&gt;14.9),0,IF(AND(B5&gt;=7,B5&lt;13.8),B7*0.0187,IF(AND(B5&gt;=13.9,B5&lt;14.9),B7*0.0468,IF(B5&lt;7,B7*0.0187,IF(B5&lt;15,B7*0.0468,0))))))</f>
        <v>0</v>
      </c>
      <c r="F4" s="66">
        <f>IF(OR('Trial Pricing Calculator'!E28="Excise",'Trial Pricing Calculator'!E28="Duty Paid",'Trial Pricing Calculator'!E28="",'Trial Pricing Calculator'!E17="Yes"),0,IF('Trial Pricing Calculator'!E15="Cider",Calculations!B7*0.2816,(Calculations!B5*Calculations!B7*0.1228)*0.01))</f>
        <v>3.6840000000000005E-2</v>
      </c>
      <c r="G4" s="32">
        <v>0</v>
      </c>
      <c r="J4" s="367"/>
      <c r="K4" s="365"/>
      <c r="L4" s="365"/>
      <c r="M4" s="365"/>
      <c r="N4" s="366"/>
      <c r="O4" s="355"/>
      <c r="P4" t="s">
        <v>1404</v>
      </c>
      <c r="Q4">
        <v>1.0009999999999999</v>
      </c>
      <c r="R4">
        <v>3</v>
      </c>
      <c r="S4">
        <v>1.3744000000000001</v>
      </c>
      <c r="U4" s="197">
        <v>1</v>
      </c>
      <c r="V4" s="197">
        <v>10</v>
      </c>
      <c r="W4" s="197">
        <f>ROUND(1-(100/(V4+100)),6)</f>
        <v>9.0909000000000004E-2</v>
      </c>
      <c r="X4" s="197">
        <v>36</v>
      </c>
      <c r="Y4" s="197">
        <f>ROUND(1-(100/(X4+100)),6)</f>
        <v>0.264706</v>
      </c>
      <c r="Z4" s="198">
        <v>0.107</v>
      </c>
      <c r="AC4" s="238" t="s">
        <v>1416</v>
      </c>
      <c r="AD4" s="236" t="s">
        <v>682</v>
      </c>
      <c r="AE4" s="236" t="s">
        <v>1436</v>
      </c>
      <c r="AF4" s="239" t="s">
        <v>9</v>
      </c>
      <c r="AG4" s="235"/>
      <c r="AH4" s="240" t="s">
        <v>1416</v>
      </c>
      <c r="AI4" s="241" t="s">
        <v>1437</v>
      </c>
      <c r="AJ4" s="242" t="s">
        <v>1438</v>
      </c>
    </row>
    <row r="5" spans="1:36" x14ac:dyDescent="0.3">
      <c r="A5" s="158" t="s">
        <v>1270</v>
      </c>
      <c r="B5" s="159">
        <f>'Trial Pricing Calculator'!E24*100</f>
        <v>40</v>
      </c>
      <c r="D5" s="356" t="s">
        <v>707</v>
      </c>
      <c r="E5" s="357"/>
      <c r="F5" s="357"/>
      <c r="G5" s="358"/>
      <c r="J5" s="48">
        <f>IF((J10&lt;J13),J13,J10)</f>
        <v>29.191176000000002</v>
      </c>
      <c r="K5" s="48">
        <f>IF((K10&lt;K13),K13,K10)</f>
        <v>18.125239999999998</v>
      </c>
      <c r="L5" s="48">
        <f>IF(B9&lt;=1,MAX(L10,L13),IF(B9&gt;1,MAX(L16,L18),""))</f>
        <v>18.125239999999998</v>
      </c>
      <c r="M5" s="48">
        <f>IF(AND(B10="Bottle",M13&gt;M10),M13,IF(AND(B10="Bottle",M10&gt;M13),M10,IF(AND(B10="Can",M18&gt;M16),M18,IF(AND(B10="Can",M16&gt;M18),M16,0))))</f>
        <v>14.3094</v>
      </c>
      <c r="N5" s="48" t="b">
        <f>IF(AND(B10="Bottle",N13&gt;N10),N13,IF(AND(B10="Bottle",N10&gt;N13),N10,IF(AND(B10="Can",N18&gt;N16),N18,IF(AND(B10="Can",N16&gt;N18),N16,0))))</f>
        <v>0</v>
      </c>
      <c r="O5" s="193" t="str">
        <f>IFERROR(ROUND(IF((O10&lt;O13),O13,O10),4),"")</f>
        <v/>
      </c>
      <c r="P5" t="s">
        <v>1405</v>
      </c>
      <c r="Q5">
        <v>3.0009999999999999</v>
      </c>
      <c r="R5">
        <v>12.9999</v>
      </c>
      <c r="S5">
        <v>1.3291999999999999</v>
      </c>
      <c r="U5" s="197">
        <v>0</v>
      </c>
      <c r="V5" s="197">
        <v>49</v>
      </c>
      <c r="W5" s="197">
        <f>ROUND(1-(100/(V5+100)),6)</f>
        <v>0.32885900000000001</v>
      </c>
      <c r="X5" s="197">
        <v>17</v>
      </c>
      <c r="Y5" s="197">
        <f>ROUND(1-(100/(X5+100)),6)</f>
        <v>0.14529900000000001</v>
      </c>
      <c r="Z5" s="197">
        <v>0.51680000000000004</v>
      </c>
      <c r="AC5" s="243">
        <v>101</v>
      </c>
      <c r="AD5" s="244">
        <v>40</v>
      </c>
      <c r="AE5" s="245">
        <f>1-(100/(AD5+100))</f>
        <v>0.2857142857142857</v>
      </c>
      <c r="AF5" s="246">
        <v>0.27</v>
      </c>
      <c r="AG5" s="235"/>
      <c r="AH5" s="243">
        <v>101</v>
      </c>
      <c r="AI5" s="235">
        <f>ROUND((AD5/153)*100,2)</f>
        <v>26.14</v>
      </c>
      <c r="AJ5" s="247">
        <v>4.7450999999999999</v>
      </c>
    </row>
    <row r="6" spans="1:36" x14ac:dyDescent="0.3">
      <c r="A6" s="158" t="s">
        <v>936</v>
      </c>
      <c r="B6" s="159">
        <f>IF('Trial Pricing Calculator'!E20=0,0,'Trial Pricing Calculator'!E20)</f>
        <v>6</v>
      </c>
      <c r="D6" s="33" t="s">
        <v>693</v>
      </c>
      <c r="E6" s="34" t="s">
        <v>673</v>
      </c>
      <c r="F6" s="34" t="s">
        <v>694</v>
      </c>
      <c r="G6" s="35" t="s">
        <v>669</v>
      </c>
      <c r="J6" s="24"/>
      <c r="K6" s="25"/>
      <c r="L6" s="25"/>
      <c r="M6" s="25"/>
      <c r="N6" s="26"/>
      <c r="O6" s="191"/>
      <c r="P6" t="s">
        <v>1406</v>
      </c>
      <c r="Q6">
        <v>13</v>
      </c>
      <c r="R6">
        <v>999999</v>
      </c>
      <c r="S6">
        <v>1.0178</v>
      </c>
      <c r="AC6" s="248">
        <v>100</v>
      </c>
      <c r="AD6" s="249">
        <v>153</v>
      </c>
      <c r="AE6" s="250">
        <f>1-(100/(AD6+100))</f>
        <v>0.60474308300395263</v>
      </c>
      <c r="AF6" s="251">
        <v>1.39</v>
      </c>
      <c r="AG6" s="235"/>
      <c r="AH6" s="248">
        <v>100</v>
      </c>
      <c r="AI6" s="252">
        <v>100</v>
      </c>
      <c r="AJ6" s="253">
        <v>18.1525</v>
      </c>
    </row>
    <row r="7" spans="1:36" x14ac:dyDescent="0.3">
      <c r="A7" s="158" t="s">
        <v>1319</v>
      </c>
      <c r="B7" s="159">
        <f>_xlfn.NUMBERVALUE(IF('Trial Pricing Calculator'!E22="",'Trial Pricing Calculator'!E21,SUM('Trial Pricing Calculator'!E21*'Trial Pricing Calculator'!E22)))</f>
        <v>0.75</v>
      </c>
      <c r="D7" s="30">
        <f>IF('Trial Pricing Calculator'!E28="Duty Paid",0,Calculations!B7*B5*Freight_Exch_Excise!$U$7)*0.01</f>
        <v>4.0707000000000004</v>
      </c>
      <c r="E7" s="36">
        <f>IF('Trial Pricing Calculator'!E28="Duty Paid",0,IF(B5&lt;=7,B7*Freight_Exch_Excise!$U$10*Calculations!B9,Calculations!B7*Freight_Exch_Excise!$U$9))</f>
        <v>0.53699999999999992</v>
      </c>
      <c r="F7" s="31">
        <f>IF(OR('Trial Pricing Calculator'!E28="Duty Paid",'Trial Pricing Calculator'!E28=""),0,IF(AND('Trial Pricing Calculator'!E15="Spirit Cooler",Calculations!B5&gt;7),((Calculations!B7)*Freight_Exch_Excise!U7)*0.01,IF(AND('Trial Pricing Calculator'!E15="Spirit Cooler",Calculations!B5&lt;=7),((Calculations!B7)*Freight_Exch_Excise!U8),IF(AND('Trial Pricing Calculator'!E15="One-Pour Cocktail",Calculations!B5&gt;7),((Calculations!B7)*Freight_Exch_Excise!U7*Calculations!B5)*0.01,IF(AND('Trial Pricing Calculator'!E15="Wine Cooler",Calculations!B5&gt;7),((Calculations!B7)*Freight_Exch_Excise!U9),IF(AND('Trial Pricing Calculator'!E15="Wine Cooler",Calculations!B5&lt;=7),((Calculations!B7)*Freight_Exch_Excise!U10),IF(AND('Trial Pricing Calculator'!E15="Cider",Calculations!B5&gt;7),((Calculations!B7)*Freight_Exch_Excise!U9),IF(AND('Trial Pricing Calculator'!E15="Cider",Calculations!B5&lt;=7),((Calculations!B7)*Freight_Exch_Excise!U10),IF(AND('Trial Pricing Calculator'!E15="Malt Based Cooler",'Trial Pricing Calculator'!E28="Customs"),Calculations!B7*Freight_Exch_Excise!U6,0)))))))))</f>
        <v>0</v>
      </c>
      <c r="G7" s="32">
        <f>IFERROR(IF('Trial Pricing Calculator'!E28="Customs",Calculations!B7*Freight_Exch_Excise!U6,0),"0.0000")</f>
        <v>0.27172499999999999</v>
      </c>
      <c r="J7" s="24"/>
      <c r="K7" s="25"/>
      <c r="L7" s="25"/>
      <c r="M7" s="25"/>
      <c r="N7" s="26"/>
      <c r="O7" s="191"/>
      <c r="AC7" s="235"/>
      <c r="AD7" s="244"/>
      <c r="AE7" s="245"/>
      <c r="AF7" s="254"/>
      <c r="AG7" s="235"/>
      <c r="AH7" s="235"/>
      <c r="AI7" s="235"/>
      <c r="AJ7" s="235"/>
    </row>
    <row r="8" spans="1:36" x14ac:dyDescent="0.3">
      <c r="A8" s="158" t="s">
        <v>1318</v>
      </c>
      <c r="B8" s="337">
        <f>B7*1000</f>
        <v>750</v>
      </c>
      <c r="D8" s="356" t="s">
        <v>682</v>
      </c>
      <c r="E8" s="357"/>
      <c r="F8" s="357"/>
      <c r="G8" s="358"/>
      <c r="J8" s="24"/>
      <c r="K8" s="25"/>
      <c r="L8" s="25" t="s">
        <v>729</v>
      </c>
      <c r="M8" s="25" t="s">
        <v>730</v>
      </c>
      <c r="N8" s="26" t="s">
        <v>730</v>
      </c>
      <c r="O8" s="191"/>
      <c r="AC8" s="255" t="s">
        <v>1439</v>
      </c>
      <c r="AD8" s="256"/>
      <c r="AE8" s="256"/>
      <c r="AF8" s="257"/>
      <c r="AG8" s="235"/>
      <c r="AH8" s="255" t="s">
        <v>1439</v>
      </c>
      <c r="AI8" s="256"/>
      <c r="AJ8" s="257"/>
    </row>
    <row r="9" spans="1:36" x14ac:dyDescent="0.3">
      <c r="A9" s="158" t="s">
        <v>1316</v>
      </c>
      <c r="B9" s="159">
        <f>'Trial Pricing Calculator'!E22</f>
        <v>1</v>
      </c>
      <c r="D9" s="53" t="s">
        <v>693</v>
      </c>
      <c r="E9" s="54" t="s">
        <v>673</v>
      </c>
      <c r="F9" s="54" t="s">
        <v>694</v>
      </c>
      <c r="G9" s="55" t="s">
        <v>669</v>
      </c>
      <c r="J9" s="42" t="s">
        <v>737</v>
      </c>
      <c r="K9" s="43" t="s">
        <v>737</v>
      </c>
      <c r="L9" s="43" t="s">
        <v>737</v>
      </c>
      <c r="M9" s="43" t="s">
        <v>737</v>
      </c>
      <c r="N9" s="44" t="s">
        <v>737</v>
      </c>
      <c r="O9" s="44" t="s">
        <v>737</v>
      </c>
      <c r="AC9" s="238" t="s">
        <v>1416</v>
      </c>
      <c r="AD9" s="236" t="s">
        <v>682</v>
      </c>
      <c r="AE9" s="236" t="s">
        <v>1436</v>
      </c>
      <c r="AF9" s="239" t="s">
        <v>9</v>
      </c>
      <c r="AG9" s="235"/>
      <c r="AH9" s="240" t="s">
        <v>1416</v>
      </c>
      <c r="AI9" s="241" t="s">
        <v>1437</v>
      </c>
      <c r="AJ9" s="242" t="s">
        <v>1438</v>
      </c>
    </row>
    <row r="10" spans="1:36" x14ac:dyDescent="0.3">
      <c r="A10" s="158" t="s">
        <v>1317</v>
      </c>
      <c r="B10" s="160" t="str">
        <f>'Trial Pricing Calculator'!E23</f>
        <v>Bottle</v>
      </c>
      <c r="D10" s="51">
        <f>J5</f>
        <v>29.191176000000002</v>
      </c>
      <c r="E10" s="39">
        <f t="shared" ref="E10" si="0">K5</f>
        <v>18.125239999999998</v>
      </c>
      <c r="F10" s="52">
        <f>L5</f>
        <v>18.125239999999998</v>
      </c>
      <c r="G10" s="57">
        <f>IF('Trial Pricing Calculator'!D9="","",ROUND(IF(AND('Trial Pricing Calculator'!D9="MBLL DISTRIBUTION",Calculations!B9&lt;=1),Calculations!M5,IF(AND('Trial Pricing Calculator'!D9="MBLL DISTRIBUTION",Calculations!B9&gt;1),Calculations!N5,Calculations!O5)),4))</f>
        <v>14.3094</v>
      </c>
      <c r="H10" s="69"/>
      <c r="J10" s="50">
        <f>IFERROR(IF('Trial Pricing Calculator'!E16="Yes",Calculations!B13*0.4,Calculations!B13*1.53),0)</f>
        <v>29.191176000000002</v>
      </c>
      <c r="K10" s="50">
        <f>IFERROR(IF('Trial Pricing Calculator'!E16="Yes",Calculations!B13*0.4,Calculations!B13*0.95),0)</f>
        <v>18.125239999999998</v>
      </c>
      <c r="L10" s="50">
        <f>IF(AND('Trial Pricing Calculator'!D9="PRIVATE DISTRIBUTION",'Trial Pricing Calculator'!K9="Gross Price to Brewer"),Calculations!B39,IF(AND('Trial Pricing Calculator'!D9="PRIVATE DISTRIBUTION",'Trial Pricing Calculator'!K9="Retail Price"),E43,IF(AND('Trial Pricing Calculator'!D9="PRIVATE DISTRIBUTION",'Trial Pricing Calculator'!K9="Licensee Price"),Calculations!B47,IF(AND('Trial Pricing Calculator'!D9="MBLL DISTRIBUTION",'Trial Pricing Calculator'!E16="Yes"),SUM(Calculations!B13*0.4),IF(AND('Trial Pricing Calculator'!D9="MBLL DISTRIBUTION",'Trial Pricing Calculator'!E16="No"),SUM(Calculations!B13*0.95),0)))))</f>
        <v>18.125239999999998</v>
      </c>
      <c r="M10" s="49">
        <f>IFERROR(IF(AND('Trial Pricing Calculator'!D9="MBLL DISTRIBUTION",'Trial Pricing Calculator'!E16="Yes"),SUM(B13*0.36),SUM(B13*0.75)),"")</f>
        <v>14.3094</v>
      </c>
      <c r="N10" s="50">
        <f>IFERROR(IF(AND('Trial Pricing Calculator'!D9="MBLL DISTRIBUTION",'Trial Pricing Calculator'!E16="Yes"),SUM(B13*0.36),SUM(B13*0.75)),"")</f>
        <v>14.3094</v>
      </c>
      <c r="O10" s="193" t="str">
        <f>IF('Trial Pricing Calculator'!K9="Gross Price to Brewer",Calculations!B39,IF('Trial Pricing Calculator'!K9="Retail Price",Calculations!B43,IF('Trial Pricing Calculator'!K9="Licensee Price",Calculations!B47,"")))</f>
        <v/>
      </c>
      <c r="AC10" s="243">
        <v>201</v>
      </c>
      <c r="AD10" s="258">
        <v>40</v>
      </c>
      <c r="AE10" s="270">
        <f>ROUND(1-(100/(AD10+100)),6)</f>
        <v>0.28571400000000002</v>
      </c>
      <c r="AF10" s="246">
        <v>0.43</v>
      </c>
      <c r="AG10" s="235"/>
      <c r="AH10" s="243">
        <v>201</v>
      </c>
      <c r="AI10" s="235">
        <v>42.11</v>
      </c>
      <c r="AJ10" s="247">
        <v>1.6061000000000001</v>
      </c>
    </row>
    <row r="11" spans="1:36" x14ac:dyDescent="0.3">
      <c r="A11" s="158" t="s">
        <v>1271</v>
      </c>
      <c r="B11" s="159">
        <f>IF('Trial Pricing Calculator'!E26="Canada",VLOOKUP('Trial Pricing Calculator'!E27,Freight_Exch_Excise!N:O,2,0),IF('Trial Pricing Calculator'!E26="USA",VLOOKUP('Trial Pricing Calculator'!E27,Freight_Exch_Excise!P:Q,2,0),IF('Trial Pricing Calculator'!E26="International",VLOOKUP('Trial Pricing Calculator'!E27,Freight_Exch_Excise!R:S,2,0),0)))</f>
        <v>1.18</v>
      </c>
      <c r="D11" s="356" t="s">
        <v>9</v>
      </c>
      <c r="E11" s="357"/>
      <c r="F11" s="357"/>
      <c r="G11" s="358"/>
      <c r="J11" s="45"/>
      <c r="K11" s="46"/>
      <c r="L11" s="46"/>
      <c r="M11" s="46"/>
      <c r="N11" s="47"/>
      <c r="O11" s="191"/>
      <c r="AC11" s="248">
        <v>200</v>
      </c>
      <c r="AD11" s="259">
        <v>95</v>
      </c>
      <c r="AE11" s="271">
        <f>ROUND(1-(100/(AD11+100)),6)</f>
        <v>0.48717899999999997</v>
      </c>
      <c r="AF11" s="251">
        <v>2.1520999999999999</v>
      </c>
      <c r="AG11" s="235"/>
      <c r="AH11" s="248">
        <v>200</v>
      </c>
      <c r="AI11" s="252">
        <v>100</v>
      </c>
      <c r="AJ11" s="253">
        <v>3.8140999999999998</v>
      </c>
    </row>
    <row r="12" spans="1:36" x14ac:dyDescent="0.3">
      <c r="A12" s="161" t="s">
        <v>1387</v>
      </c>
      <c r="B12" s="162">
        <f>'Trial Pricing Calculator'!E21</f>
        <v>0.75</v>
      </c>
      <c r="D12" s="33" t="s">
        <v>693</v>
      </c>
      <c r="E12" s="34" t="s">
        <v>673</v>
      </c>
      <c r="F12" s="34" t="s">
        <v>694</v>
      </c>
      <c r="G12" s="35" t="s">
        <v>669</v>
      </c>
      <c r="J12" s="42" t="s">
        <v>4</v>
      </c>
      <c r="K12" s="43" t="s">
        <v>4</v>
      </c>
      <c r="L12" s="43" t="s">
        <v>4</v>
      </c>
      <c r="M12" s="43" t="s">
        <v>4</v>
      </c>
      <c r="N12" s="44" t="s">
        <v>4</v>
      </c>
      <c r="O12" s="44" t="s">
        <v>4</v>
      </c>
      <c r="AC12" s="235"/>
      <c r="AD12" s="235"/>
      <c r="AE12" s="235"/>
      <c r="AF12" s="235"/>
      <c r="AG12" s="235"/>
      <c r="AH12" s="235"/>
      <c r="AI12" s="235"/>
      <c r="AJ12" s="235"/>
    </row>
    <row r="13" spans="1:36" x14ac:dyDescent="0.3">
      <c r="A13" s="155" t="s">
        <v>799</v>
      </c>
      <c r="B13" s="156">
        <f>IFERROR(IF('Trial Pricing Calculator'!L18="",SUM('Trial Pricing Calculator'!L14+'Trial Pricing Calculator'!L15+'Trial Pricing Calculator'!L16+'Trial Pricing Calculator'!L17),SUM('Trial Pricing Calculator'!L14+'Trial Pricing Calculator'!L15+'Trial Pricing Calculator'!L16+'Trial Pricing Calculator'!L17+'Trial Pricing Calculator'!L18)),0)</f>
        <v>19.0792</v>
      </c>
      <c r="D13" s="30">
        <f>ROUND(IF('Trial Pricing Calculator'!E16="Yes",Calculations!B7*0.27,(Calculations!B7*Freight_Exch_Excise!W6)),4)</f>
        <v>1.0425</v>
      </c>
      <c r="E13" s="36">
        <f>ROUND(IF('Trial Pricing Calculator'!E16="Yes",Calculations!B7*0.43,(Calculations!B7*Freight_Exch_Excise!W7)),4)</f>
        <v>1.6141000000000001</v>
      </c>
      <c r="F13" s="31">
        <f>ROUND(IF('Trial Pricing Calculator'!E16="Yes",Calculations!B7*0.21,(Calculations!B7*Freight_Exch_Excise!W8)),4)</f>
        <v>0.78949999999999998</v>
      </c>
      <c r="G13" s="37">
        <f>ROUND(IF('Trial Pricing Calculator'!E16="Yes",Calculations!B7*0.107,(Calculations!B7*Freight_Exch_Excise!W9)),4)</f>
        <v>0.3876</v>
      </c>
      <c r="J13" s="163">
        <f>IFERROR(IF('Trial Pricing Calculator'!E16="Yes",VLOOKUP('Trial Pricing Calculator'!E14,Freight_Exch_Excise!AA:AB,2,0)*Calculations!B7,IF(B9=1,VLOOKUP(B8,'Spirit Min. Markup'!C:E,3,0),IF(AND(OR('Trial Pricing Calculator'!E15="Brandy/Cognac",'Trial Pricing Calculator'!E15="Gin",'Trial Pricing Calculator'!E15="Miscellaneous Spirit",'Trial Pricing Calculator'!E15="Rum",'Trial Pricing Calculator'!E15="Tequila",'Trial Pricing Calculator'!E15="Vodka",'Trial Pricing Calculator'!E15="Whisk(e)y"),Calculations!B9&gt;1),VLOOKUP(Calculations!B8,'Spirit Min. Markup'!AC:AE,3,0),IF(AND('Trial Pricing Calculator'!E15="Liqueur",Calculations!B9&gt;1),VLOOKUP(Calculations!B8,'Spirit Min. Markup'!P:R,3,0),0)))),0)</f>
        <v>14.6782</v>
      </c>
      <c r="K13" s="50">
        <f>IFERROR(IF('Trial Pricing Calculator'!E16="Yes",VLOOKUP('Trial Pricing Calculator'!E14,Freight_Exch_Excise!AA:AB,2,0)*Calculations!B7,IF(Calculations!B9=1,VLOOKUP(Calculations!B8,'Wine Min. Markup'!C:E,3,0),IF(Calculations!B9&gt;1,VLOOKUP(Calculations!B8,'Wine Min. Markup'!P:R,3,0),0))),0)</f>
        <v>3.3323999999999998</v>
      </c>
      <c r="L13" s="50">
        <f>IFERROR(IF('Trial Pricing Calculator'!E16="Yes",VLOOKUP('Trial Pricing Calculator'!E14,Freight_Exch_Excise!AA:AB,2,0)*Calculations!B7,IF(Calculations!B9=1,VLOOKUP(Calculations!B8,'Ref. Bev. Min. Markup'!C:E,3,0),0)),0)</f>
        <v>2.3548</v>
      </c>
      <c r="M13" s="50" cm="1">
        <f t="array" ref="M13">IFERROR(IF(AND('Trial Pricing Calculator'!D9="MBLL DISTRIBUTION",'Trial Pricing Calculator'!E16="Yes"),SUM(Freight_Exch_Excise!AC9*Calculations!B7),SUM(LOOKUP(2,1/(Q3:Q6&lt;=B7)/(R3:R6&gt;=B7),S3:S6*B7))),0)</f>
        <v>1.1421749999999999</v>
      </c>
      <c r="N13" s="49" t="b">
        <f>IFERROR(IF('Trial Pricing Calculator'!E16="Yes",Freight_Exch_Excise!AC9*Calculations!B7,IF(AND(Calculations!B10="Bottle",Calculations!B9&gt;1),VLOOKUP(Calculations!B8,'Beer Min. Markup'!AN:AQ,4,0))),0)</f>
        <v>0</v>
      </c>
      <c r="O13" s="201" cm="1">
        <f t="array" ref="O13">IF(AND('Trial Pricing Calculator'!D9="PRIVATE DISTRIBUTION",'Trial Pricing Calculator'!E16="Yes"),Freight_Exch_Excise!AB9*Calculations!B7,SUM(LOOKUP(2,1/(Calculations!Q3:Q6&lt;=Calculations!B7)/(Calculations!R3:R6&gt;=Calculations!B7),Calculations!S3:S6)*Calculations!B7))</f>
        <v>1.1421749999999999</v>
      </c>
      <c r="AC13" s="368" t="s">
        <v>1440</v>
      </c>
      <c r="AD13" s="369"/>
      <c r="AE13" s="369"/>
      <c r="AF13" s="370"/>
      <c r="AG13" s="235"/>
      <c r="AH13" s="368" t="s">
        <v>1440</v>
      </c>
      <c r="AI13" s="369"/>
      <c r="AJ13" s="370"/>
    </row>
    <row r="14" spans="1:36" x14ac:dyDescent="0.3">
      <c r="B14" s="141"/>
      <c r="D14" s="356" t="s">
        <v>796</v>
      </c>
      <c r="E14" s="357"/>
      <c r="F14" s="357"/>
      <c r="G14" s="358"/>
      <c r="J14" s="45"/>
      <c r="K14" s="46"/>
      <c r="L14" s="46" t="s">
        <v>221</v>
      </c>
      <c r="M14" s="46" t="s">
        <v>756</v>
      </c>
      <c r="N14" s="47" t="s">
        <v>756</v>
      </c>
      <c r="O14" s="191"/>
      <c r="AC14" s="238" t="s">
        <v>1416</v>
      </c>
      <c r="AD14" s="236" t="s">
        <v>682</v>
      </c>
      <c r="AE14" s="236" t="s">
        <v>1436</v>
      </c>
      <c r="AF14" s="239" t="s">
        <v>9</v>
      </c>
      <c r="AG14" s="235"/>
      <c r="AH14" s="240" t="s">
        <v>1416</v>
      </c>
      <c r="AI14" s="241" t="s">
        <v>1437</v>
      </c>
      <c r="AJ14" s="242" t="s">
        <v>1438</v>
      </c>
    </row>
    <row r="15" spans="1:36" x14ac:dyDescent="0.3">
      <c r="A15" s="153" t="s">
        <v>1462</v>
      </c>
      <c r="B15" s="154" t="b">
        <f>IF('Trial Pricing Calculator'!E14="",0,IF(AND('Trial Pricing Calculator'!D9="MBLL DISTRIBUTION",'Trial Pricing Calculator'!E18="Yes"),SUM('Trial Pricing Calculator'!L20:L25)+Calculations!B13))</f>
        <v>0</v>
      </c>
      <c r="D15" s="33" t="s">
        <v>693</v>
      </c>
      <c r="E15" s="34" t="s">
        <v>673</v>
      </c>
      <c r="F15" s="34" t="s">
        <v>694</v>
      </c>
      <c r="G15" s="35" t="s">
        <v>669</v>
      </c>
      <c r="J15" s="45"/>
      <c r="K15" s="46"/>
      <c r="L15" s="43" t="s">
        <v>737</v>
      </c>
      <c r="M15" s="43" t="s">
        <v>737</v>
      </c>
      <c r="N15" s="44" t="s">
        <v>737</v>
      </c>
      <c r="O15" s="191"/>
      <c r="AC15" s="240">
        <v>301</v>
      </c>
      <c r="AD15" s="258">
        <v>40</v>
      </c>
      <c r="AE15" s="270">
        <f>ROUND(1-(100/(AD15+100)),6)</f>
        <v>0.28571400000000002</v>
      </c>
      <c r="AF15" s="246">
        <v>0.21</v>
      </c>
      <c r="AG15" s="235"/>
      <c r="AH15" s="240">
        <v>301</v>
      </c>
      <c r="AI15" s="235">
        <f>ROUND((AD15/95)*100,2)</f>
        <v>42.11</v>
      </c>
      <c r="AJ15" s="247">
        <v>1.3222</v>
      </c>
    </row>
    <row r="16" spans="1:36" x14ac:dyDescent="0.3">
      <c r="D16" s="30">
        <f>IF('Trial Pricing Calculator'!E26="Canada",0,IF('Trial Pricing Calculator'!E26="USA",IF('Trial Pricing Calculator'!E15="Liqueur",Calculations!B7*0.31,Calculations!B7*0.38),IF('Trial Pricing Calculator'!E15="Liqueur",Calculations!B7*0.68,Calculations!B7*0.65)))</f>
        <v>0.28500000000000003</v>
      </c>
      <c r="E16" s="36">
        <f>IF('Trial Pricing Calculator'!E26="Canada",0,IF('Trial Pricing Calculator'!E26="USA",Calculations!B7*0.15,Calculations!B7*0.44))</f>
        <v>0.11249999999999999</v>
      </c>
      <c r="F16" s="31">
        <f>IF('Trial Pricing Calculator'!E26="Canada",0,IF('Trial Pricing Calculator'!E26="USA",Calculations!B7*0.22,Calculations!B7*0.41))</f>
        <v>0.16500000000000001</v>
      </c>
      <c r="G16" s="37">
        <f>IF('Trial Pricing Calculator'!E26="Canada",0,IF('Trial Pricing Calculator'!E26="USA",Calculations!B7*0.57,Calculations!B7*0.64))</f>
        <v>0.42749999999999999</v>
      </c>
      <c r="J16" s="45"/>
      <c r="K16" s="46"/>
      <c r="L16" s="50">
        <f>IF(AND('Trial Pricing Calculator'!D9="PRIVATE DISTRIBUTION",'Trial Pricing Calculator'!K9="Gross Price to Brewer"),Calculations!B39,IF(AND('Trial Pricing Calculator'!D9="PRIVATE DISTRIBUTION",'Trial Pricing Calculator'!K9="Retail Price"),E43,IF(AND('Trial Pricing Calculator'!D9="PRIVATE DISTRIBUTION",'Trial Pricing Calculator'!K9="Licensee Price"),E47,IF(AND('Trial Pricing Calculator'!D9="MBLL DISTRIBUTION",'Trial Pricing Calculator'!E16="Yes"),SUM(Calculations!B13*0.4),IF(AND('Trial Pricing Calculator'!D9="MBLL DISTRIBUTION",'Trial Pricing Calculator'!E16="No"),SUM(Calculations!B13*0.95),0)))))</f>
        <v>18.125239999999998</v>
      </c>
      <c r="M16" s="50">
        <f>IF(AND('Trial Pricing Calculator'!D9="MBLL DISTRIBUTION",'Trial Pricing Calculator'!E16="Yes"),SUM(B13*0.36),IF(AND('Trial Pricing Calculator'!D9="PRIVATE DISTRIBUTION",'Trial Pricing Calculator'!E16="Yes"),SUM(B13*0.1),IF(AND('Trial Pricing Calculator'!D9="MBLL DISTRIBUTION",'Trial Pricing Calculator'!E16="No"),SUM(B13*0.75),SUM(B13*0.49))))</f>
        <v>14.3094</v>
      </c>
      <c r="N16" s="50">
        <f>IF(AND('Trial Pricing Calculator'!D9="MBLL DISTRIBUTION",'Trial Pricing Calculator'!E16="Yes"),SUM(B13*0.36),IF(AND('Trial Pricing Calculator'!D9="PRIVATE DISTRIBUTION",'Trial Pricing Calculator'!E16="Yes"),SUM(B13*0.1),IF(AND('Trial Pricing Calculator'!D9="MBLL DISTRIBUTION",'Trial Pricing Calculator'!E16="No"),SUM(B13*0.75),SUM(B13*0.49))))</f>
        <v>14.3094</v>
      </c>
      <c r="O16" s="191"/>
      <c r="AC16" s="248">
        <v>300</v>
      </c>
      <c r="AD16" s="259">
        <v>95</v>
      </c>
      <c r="AE16" s="271">
        <f>ROUND(1-(100/(AD16+100)),6)</f>
        <v>0.48717899999999997</v>
      </c>
      <c r="AF16" s="251">
        <v>1.0526</v>
      </c>
      <c r="AG16" s="235"/>
      <c r="AH16" s="248">
        <v>300</v>
      </c>
      <c r="AI16" s="252">
        <v>100</v>
      </c>
      <c r="AJ16" s="253">
        <v>3.1398000000000001</v>
      </c>
    </row>
    <row r="17" spans="1:36" x14ac:dyDescent="0.3">
      <c r="A17" s="203" t="s">
        <v>1414</v>
      </c>
      <c r="B17" s="304">
        <f>IF('Trial Pricing Calculator'!E14="",0,IF(AND('Trial Pricing Calculator'!D9="PRIVATE DISTRIBUTION",'Trial Pricing Calculator'!K9="Gross Price to Brewer"),Calculations!F39,IF(AND('Trial Pricing Calculator'!D9="PRIVATE DISTRIBUTION",'Trial Pricing Calculator'!K9="Retail Price"),Calculations!F43,IF(AND('Trial Pricing Calculator'!D9="PRIVATE DISTRIBUTION",'Trial Pricing Calculator'!K9="Licensee Price"),Calculations!F47,IF(AND('Trial Pricing Calculator'!D9="MBLL DISTRIBUTION",'Trial Pricing Calculator'!K9="Case Cost"),Calculations!D28,IF(AND('Trial Pricing Calculator'!D9="MBLL DISTRIBUTION",'Trial Pricing Calculator'!K9="Retail Price"),'Trial Pricing Calculator'!L9,""))))))</f>
        <v>49.6</v>
      </c>
      <c r="D17" s="356" t="s">
        <v>797</v>
      </c>
      <c r="E17" s="357"/>
      <c r="F17" s="357"/>
      <c r="G17" s="358"/>
      <c r="J17" s="45"/>
      <c r="K17" s="46"/>
      <c r="L17" s="43" t="s">
        <v>4</v>
      </c>
      <c r="M17" s="43" t="s">
        <v>4</v>
      </c>
      <c r="N17" s="44" t="s">
        <v>4</v>
      </c>
      <c r="O17" s="191"/>
      <c r="AC17" s="235"/>
      <c r="AD17" s="258"/>
      <c r="AE17" s="245"/>
      <c r="AF17" s="254"/>
      <c r="AG17" s="235"/>
      <c r="AH17" s="235"/>
      <c r="AI17" s="235"/>
      <c r="AJ17" s="235"/>
    </row>
    <row r="18" spans="1:36" x14ac:dyDescent="0.3">
      <c r="A18" s="203" t="s">
        <v>1410</v>
      </c>
      <c r="B18" s="332">
        <f>IFERROR(ROUND(IF('Trial Pricing Calculator'!K9="Gross Price to Brewer",Calculations!A39,IF('Trial Pricing Calculator'!K9="Retail Price",Calculations!A43,IF('Trial Pricing Calculator'!K9="Licensee Price",Calculations!A47,""))),4),0)</f>
        <v>0</v>
      </c>
      <c r="D18" s="33" t="s">
        <v>693</v>
      </c>
      <c r="E18" s="34" t="s">
        <v>673</v>
      </c>
      <c r="F18" s="34" t="s">
        <v>694</v>
      </c>
      <c r="G18" s="35" t="s">
        <v>669</v>
      </c>
      <c r="J18" s="24"/>
      <c r="K18" s="25"/>
      <c r="L18" s="50">
        <f>IFERROR(IF('Trial Pricing Calculator'!E16="Yes",VLOOKUP('Trial Pricing Calculator'!E14,Freight_Exch_Excise!AA:AB,2,0)*Calculations!B7,IF(Calculations!B9&gt;1,VLOOKUP(B7,'Ref. Bev. Min. Markup'!O:R,4,0),0)),0)</f>
        <v>0</v>
      </c>
      <c r="M18" s="49" t="b">
        <f>IFERROR(IF('Trial Pricing Calculator'!E16="Yes",Freight_Exch_Excise!AC9*Calculations!B7,IF(AND(Calculations!B10="Can",Calculations!B9=1),VLOOKUP(Calculations!B8,'Beer Min. Markup'!C:E,3,0))),0)</f>
        <v>0</v>
      </c>
      <c r="N18" s="49" t="b">
        <f>IFERROR(IF('Trial Pricing Calculator'!E16="Yes",Freight_Exch_Excise!AC9*Calculations!B7,IF(AND(B10="Can",B9&gt;1),VLOOKUP(Calculations!B8,'Beer Min. Markup'!BB:BE,4,0))),0)</f>
        <v>0</v>
      </c>
      <c r="O18" s="192"/>
      <c r="AC18" s="255" t="s">
        <v>1441</v>
      </c>
      <c r="AD18" s="256"/>
      <c r="AE18" s="256"/>
      <c r="AF18" s="257"/>
      <c r="AG18" s="235"/>
      <c r="AH18" s="255" t="s">
        <v>1441</v>
      </c>
      <c r="AI18" s="256"/>
      <c r="AJ18" s="257"/>
    </row>
    <row r="19" spans="1:36" x14ac:dyDescent="0.3">
      <c r="A19" s="203" t="s">
        <v>1425</v>
      </c>
      <c r="B19" s="332" t="str">
        <f>IF(AND('Trial Pricing Calculator'!D9="PRIVATE DISTRIBUTION",'Trial Pricing Calculator'!E14="Beer",'Trial Pricing Calculator'!K9="Licensee Price"),D47,IF(AND('Trial Pricing Calculator'!D9="PRIVATE DISTRIBUTION",'Trial Pricing Calculator'!E14="Beer",'Trial Pricing Calculator'!K9="Retail Price"),D43,IF(AND('Trial Pricing Calculator'!D9="PRIVATE DISTRIBUTION",'Trial Pricing Calculator'!E14="Beer",'Trial Pricing Calculator'!K9="Gross Price to Brewer"),D39,IF(AND('Trial Pricing Calculator'!D9="MBLL DISTRIBUTION",'Trial Pricing Calculator'!E14="Beer",'Trial Pricing Calculator'!K9="Case Cost"),G28,IF(AND('Trial Pricing Calculator'!D9="MBLL DISTRIBUTION",'Trial Pricing Calculator'!E14="Beer",'Trial Pricing Calculator'!K9="Retail Price"),I32,"")))))</f>
        <v/>
      </c>
      <c r="D19" s="30">
        <f>IF(B12=0.05,Freight_Exch_Excise!Z20*Calculations!B9,IF(Calculations!B12=0.2,Freight_Exch_Excise!Z24*Calculations!B9,IF(Calculations!B12=0.375,Freight_Exch_Excise!Z25*Calculations!B9,IF(Calculations!B12=1.14,Freight_Exch_Excise!Z21*Calculations!B9,IF(Calculations!B12=1.75,Freight_Exch_Excise!Z24*Calculations!B9,0)))))</f>
        <v>0</v>
      </c>
      <c r="E19" s="39">
        <f>IF(B12&lt;0.75,0,IF(OR(B12=0.75,B12=1),Freight_Exch_Excise!Z21*Calculations!B9,IF(B12=1.5,Freight_Exch_Excise!Z27*Calculations!B9,IF(B12=2,Freight_Exch_Excise!Z28*Calculations!B9,IF(B12=3,Freight_Exch_Excise!Z29*Calculations!B9,IF(OR(B12=4,B12=5,B12=6),Freight_Exch_Excise!Z30*Calculations!B9,IF(OR(B12=7,B12=8,B12=9,B12=10),Freight_Exch_Excise!Z31*Calculations!B9,IF(B12=19.5,Freight_Exch_Excise!Z32*Calculations!B9,IF(B12=15,Freight_Exch_Excise!Z33*Calculations!B9,IF(B12=16,Freight_Exch_Excise!Z34*Calculations!B9,IF(B12=18,Freight_Exch_Excise!Z36*Calculations!B9,IF(B12=19,Freight_Exch_Excise!Z35*Calculations!B9,IF(B12=20,Freight_Exch_Excise!Z37*Calculations!B9,IF(B12=22,Freight_Exch_Excise!Z38*Calculations!B9,0))))))))))))))</f>
        <v>0.29720000000000002</v>
      </c>
      <c r="F19" s="31">
        <f>IF(AND(B12&gt;0.049,B12&lt;0.401),SUM(Freight_Exch_Excise!Z12*B9),IF(AND(B12&gt;0.4,B12&lt;0.47),SUM(Freight_Exch_Excise!Z13*B9),IF(AND(B12&gt;0.469,B12&lt;0.66),SUM(Freight_Exch_Excise!Z14*B9),IF(AND(B12&gt;0.659,B12&lt;0.75),SUM(Freight_Exch_Excise!Z15*B9),IF(AND(B12&gt;0.749,B12&lt;0.9),SUM(Freight_Exch_Excise!Z16*B9),IF(AND(B12&gt;0.899,B12&lt;1),SUM(Freight_Exch_Excise!Z17*B9),IF(B12=1,SUM(Freight_Exch_Excise!Z18*B9),IF(B12=1.14,SUM(Freight_Exch_Excise!Z19*B9),IF(B12=1.75,SUM(Freight_Exch_Excise!Z21*B9),IF(B12=2,SUM(Freight_Exch_Excise!Z22*B9),IF(B12=3,SUM(Freight_Exch_Excise!AB23*B9),0)))))))))))</f>
        <v>0.13070000000000001</v>
      </c>
      <c r="G19" s="38">
        <f>IF(AND(B9=24,B10="Bottle"),Freight_Exch_Excise!Z8*B9,IF(AND(B9=8,B10="Can"),Freight_Exch_Excise!Z11*B9,IF(AND(B9=15,B10="Can"),Freight_Exch_Excise!Z6*B9,IF(AND(B9=20,B10="Can"),Freight_Exch_Excise!Z7*B9,IF(AND(B9=30,B10="Can"),Freight_Exch_Excise!Z9*B9,IF(AND(B9=36,B10="Can"),Freight_Exch_Excise!Z10*B9,0))))))</f>
        <v>0</v>
      </c>
      <c r="J19" s="24"/>
      <c r="K19" s="25"/>
      <c r="L19" s="25"/>
      <c r="M19" s="25"/>
      <c r="N19" s="26"/>
      <c r="AC19" s="238" t="s">
        <v>1390</v>
      </c>
      <c r="AD19" s="260" t="s">
        <v>1417</v>
      </c>
      <c r="AE19" s="260"/>
      <c r="AF19" s="239" t="s">
        <v>9</v>
      </c>
      <c r="AG19" s="235"/>
      <c r="AH19" s="240" t="s">
        <v>1416</v>
      </c>
      <c r="AI19" s="241" t="s">
        <v>1437</v>
      </c>
      <c r="AJ19" s="242" t="s">
        <v>1438</v>
      </c>
    </row>
    <row r="20" spans="1:36" x14ac:dyDescent="0.3">
      <c r="J20" s="24"/>
      <c r="K20" s="25"/>
      <c r="L20" s="25"/>
      <c r="M20" s="25"/>
      <c r="N20" s="26"/>
      <c r="AC20" s="240">
        <v>1401</v>
      </c>
      <c r="AD20" s="244">
        <v>10</v>
      </c>
      <c r="AE20" s="270">
        <f>ROUND(1-(100/(AD20+100)),6)</f>
        <v>9.0909000000000004E-2</v>
      </c>
      <c r="AF20" s="246">
        <v>0.107</v>
      </c>
      <c r="AG20" s="235"/>
      <c r="AH20" s="240">
        <v>401</v>
      </c>
      <c r="AI20" s="235">
        <f>ROUND((AD20/49)*100,2)</f>
        <v>20.41</v>
      </c>
      <c r="AJ20" s="247">
        <v>0.27129999999999999</v>
      </c>
    </row>
    <row r="21" spans="1:36" x14ac:dyDescent="0.3">
      <c r="A21" s="210" t="s">
        <v>1424</v>
      </c>
      <c r="B21" s="218">
        <f>IF(Calculations!B10="Keg",0,ROUND(IF(AND('Trial Pricing Calculator'!D9="PRIVATE DISTRIBUTION",'Trial Pricing Calculator'!E14="Beer"),0.0283*Calculations!B9),4))</f>
        <v>0</v>
      </c>
      <c r="J21" s="183" t="s">
        <v>777</v>
      </c>
      <c r="K21" s="184" t="s">
        <v>777</v>
      </c>
      <c r="L21" s="184" t="s">
        <v>777</v>
      </c>
      <c r="M21" s="185" t="s">
        <v>777</v>
      </c>
      <c r="N21" s="26"/>
      <c r="O21" s="227" t="s">
        <v>1434</v>
      </c>
      <c r="AC21" s="248">
        <v>1400</v>
      </c>
      <c r="AD21" s="249">
        <v>49</v>
      </c>
      <c r="AE21" s="271">
        <f>ROUND(1-(100/(AD21+100)),6)</f>
        <v>0.32885900000000001</v>
      </c>
      <c r="AF21" s="261">
        <v>0.51680000000000004</v>
      </c>
      <c r="AG21" s="235"/>
      <c r="AH21" s="248">
        <v>400</v>
      </c>
      <c r="AI21" s="252">
        <f>ROUND((AD21/49)*100,2)</f>
        <v>100</v>
      </c>
      <c r="AJ21" s="253">
        <v>1.3291999999999999</v>
      </c>
    </row>
    <row r="22" spans="1:36" x14ac:dyDescent="0.3">
      <c r="J22" s="49">
        <f>IF(B8&lt;60,SUM(B7*'Trial Pricing Calculator'!E24*SRP!E4),IF(AND(B8&gt;=60,B8&lt;100),SUM(B7*'Trial Pricing Calculator'!E24*SRP!E5),IF(AND(B8&gt;=100,B8&lt;300),SUM(B7*'Trial Pricing Calculator'!E24*SRP!E6),IF(AND(B8&gt;=300,B8&lt;400),SUM(B7*'Trial Pricing Calculator'!E24*SRP!E7),IF(AND(B8&gt;=400,B8&lt;=699),SUM(B7*'Trial Pricing Calculator'!E24*SRP!E8),IF(B8&gt;=700,SUM(B7*'Trial Pricing Calculator'!E24*SRP!E9),0))))))</f>
        <v>22.306887513455333</v>
      </c>
      <c r="K22" s="50">
        <f>IF(B8&lt;100,SUM(B7*'Trial Pricing Calculator'!E24*SRP!E18),IF(AND(B8&gt;=100,B8&lt;375),SUM(B7*'Trial Pricing Calculator'!E24*SRP!E19),IF(AND(B8&gt;=375,B8&lt;=699),SUM(B7*'Trial Pricing Calculator'!E24*SRP!E20),IF(AND(B8&gt;=700,B8&lt;=3999),SUM(B7*'Trial Pricing Calculator'!E24*SRP!E21),IF(B8&gt;=4000,SUM(B7*'Trial Pricing Calculator'!E24*SRP!E22),0)))))</f>
        <v>22.306887513455333</v>
      </c>
      <c r="L22" s="49">
        <f>IF(B8&lt;100,SUM(B7*'Trial Pricing Calculator'!E24*SRP!E13),IF(AND(B8&gt;=100,B8&lt;250),SUM(B7*'Trial Pricing Calculator'!E24*SRP!E14),IF(AND(B8&gt;=250,B8&lt;=399),SUM(B7*'Trial Pricing Calculator'!E24*SRP!E15),IF(AND(B8&gt;=400,B8&lt;=699),SUM(B7*'Trial Pricing Calculator'!E24*SRP!E16),IF(B8&gt;=700,SUM(B7*'Trial Pricing Calculator'!E24*SRP!E17),0)))))</f>
        <v>22.306887513455333</v>
      </c>
      <c r="M22" s="49">
        <f>IF(B8&lt;10000,SUM(B7*'Trial Pricing Calculator'!E24*SRP!E10),IF(AND(B8&gt;=10000,B8&lt;20000),SUM(B7*'Trial Pricing Calculator'!E24*SRP!E11),IF(B8&gt;=20000,SUM(B7*'Trial Pricing Calculator'!E24*SRP!E12),0)))</f>
        <v>22.306887513455333</v>
      </c>
      <c r="N22" s="26"/>
      <c r="O22" s="49"/>
      <c r="AC22" s="235"/>
      <c r="AD22" s="244"/>
      <c r="AE22" s="245"/>
      <c r="AF22" s="245"/>
      <c r="AG22" s="235"/>
      <c r="AH22" s="235"/>
      <c r="AI22" s="235"/>
      <c r="AJ22" s="235"/>
    </row>
    <row r="23" spans="1:36" x14ac:dyDescent="0.3">
      <c r="J23" s="41"/>
      <c r="K23" s="25"/>
      <c r="L23" s="40"/>
      <c r="M23" s="25"/>
      <c r="N23" s="26"/>
      <c r="AC23" s="235"/>
      <c r="AD23" s="244"/>
      <c r="AE23" s="245"/>
      <c r="AF23" s="245"/>
      <c r="AG23" s="235"/>
      <c r="AH23" s="235"/>
      <c r="AI23" s="235"/>
      <c r="AJ23" s="235"/>
    </row>
    <row r="24" spans="1:36" x14ac:dyDescent="0.3">
      <c r="J24" s="24"/>
      <c r="K24" s="25"/>
      <c r="L24" s="25"/>
      <c r="M24" s="186" t="s">
        <v>785</v>
      </c>
      <c r="N24" s="26"/>
      <c r="AC24" s="368" t="s">
        <v>1442</v>
      </c>
      <c r="AD24" s="369"/>
      <c r="AE24" s="369"/>
      <c r="AF24" s="370"/>
      <c r="AG24" s="235"/>
      <c r="AH24" s="368" t="s">
        <v>1442</v>
      </c>
      <c r="AI24" s="369"/>
      <c r="AJ24" s="370"/>
    </row>
    <row r="25" spans="1:36" ht="27.6" x14ac:dyDescent="0.3">
      <c r="A25" s="229" t="s">
        <v>1428</v>
      </c>
      <c r="B25" s="230"/>
      <c r="C25" s="230"/>
      <c r="D25" s="230"/>
      <c r="E25" s="230"/>
      <c r="F25" s="230"/>
      <c r="G25" s="228"/>
      <c r="J25" s="24"/>
      <c r="K25" s="25"/>
      <c r="L25" s="25"/>
      <c r="M25" s="187" t="s">
        <v>403</v>
      </c>
      <c r="N25" s="26"/>
      <c r="AC25" s="238" t="s">
        <v>1390</v>
      </c>
      <c r="AD25" s="260" t="s">
        <v>1443</v>
      </c>
      <c r="AE25" s="260"/>
      <c r="AF25" s="247"/>
      <c r="AG25" s="235"/>
      <c r="AH25" s="240" t="s">
        <v>1416</v>
      </c>
      <c r="AI25" s="241" t="s">
        <v>1437</v>
      </c>
      <c r="AJ25" s="242" t="s">
        <v>1438</v>
      </c>
    </row>
    <row r="26" spans="1:36" x14ac:dyDescent="0.3">
      <c r="A26" s="231" t="s">
        <v>1412</v>
      </c>
      <c r="B26" s="232"/>
      <c r="C26" s="232"/>
      <c r="D26" s="232"/>
      <c r="E26" s="232"/>
      <c r="F26" s="232"/>
      <c r="G26" s="233"/>
      <c r="H26" s="129"/>
      <c r="I26" s="129"/>
      <c r="J26" s="24"/>
      <c r="K26" s="25"/>
      <c r="L26" s="25"/>
      <c r="M26" s="188">
        <v>1.1000000000000001</v>
      </c>
      <c r="N26" s="26"/>
      <c r="AC26" s="240">
        <v>401</v>
      </c>
      <c r="AD26" s="244">
        <f>AD20+26</f>
        <v>36</v>
      </c>
      <c r="AE26" s="270">
        <f>ROUND(1-(100/(AD26+100)),6)</f>
        <v>0.264706</v>
      </c>
      <c r="AF26" s="246">
        <v>0.107</v>
      </c>
      <c r="AG26" s="235"/>
      <c r="AH26" s="240">
        <v>1401</v>
      </c>
      <c r="AI26" s="262">
        <f>ROUND((AD26/75)*100,2)</f>
        <v>48</v>
      </c>
      <c r="AJ26" s="247">
        <v>0.94350000000000001</v>
      </c>
    </row>
    <row r="27" spans="1:36" x14ac:dyDescent="0.3">
      <c r="A27" s="211" t="s">
        <v>1429</v>
      </c>
      <c r="B27" s="211" t="s">
        <v>799</v>
      </c>
      <c r="C27" s="211" t="s">
        <v>1431</v>
      </c>
      <c r="D27" s="272" t="s">
        <v>1414</v>
      </c>
      <c r="E27" s="211" t="s">
        <v>1459</v>
      </c>
      <c r="F27" s="211" t="s">
        <v>1460</v>
      </c>
      <c r="G27" s="211" t="s">
        <v>1413</v>
      </c>
      <c r="H27" s="275" t="s">
        <v>1461</v>
      </c>
      <c r="J27" s="24"/>
      <c r="K27" s="25"/>
      <c r="L27" s="25"/>
      <c r="M27" s="189" t="s">
        <v>406</v>
      </c>
      <c r="N27" s="26"/>
      <c r="AC27" s="248">
        <v>400</v>
      </c>
      <c r="AD27" s="249">
        <f>AD21+26</f>
        <v>75</v>
      </c>
      <c r="AE27" s="271">
        <f>ROUND(1-(100/(AD27+100)),6)</f>
        <v>0.42857099999999998</v>
      </c>
      <c r="AF27" s="261">
        <v>0.51680000000000004</v>
      </c>
      <c r="AG27" s="235"/>
      <c r="AH27" s="248">
        <v>1400</v>
      </c>
      <c r="AI27" s="252">
        <v>100</v>
      </c>
      <c r="AJ27" s="253">
        <v>1.9656</v>
      </c>
    </row>
    <row r="28" spans="1:36" x14ac:dyDescent="0.3">
      <c r="A28" s="221">
        <f>IFERROR(IF('Trial Pricing Calculator'!D9="","",IF('Trial Pricing Calculator'!K9="Case Cost",ROUND(B3/B6*B4,4),"")),0)</f>
        <v>14.1235</v>
      </c>
      <c r="B28" s="202">
        <f>IF('Trial Pricing Calculator'!D9="","",IF('Trial Pricing Calculator'!K9="Case Cost",ROUND(Calculations!B13,4),""))</f>
        <v>19.0792</v>
      </c>
      <c r="C28" s="202">
        <f>IF('Trial Pricing Calculator'!E14="Spirit",Calculations!D10,IF('Trial Pricing Calculator'!E14="Wine",Calculations!E10,IF('Trial Pricing Calculator'!E14="Ready_to_Drink",Calculations!F10,IF('Trial Pricing Calculator'!E14="Beer",Calculations!G10,""))))</f>
        <v>29.191176000000002</v>
      </c>
      <c r="D28" s="273">
        <f>IF('Trial Pricing Calculator'!K9="Case Cost",ROUND(SUM(B13+'Trial Pricing Calculator'!L20+'Trial Pricing Calculator'!L21+'Trial Pricing Calculator'!L22+'Trial Pricing Calculator'!L23),2),"")</f>
        <v>49.6</v>
      </c>
      <c r="E28" s="263">
        <f>IFERROR(IF(AND('Trial Pricing Calculator'!D9="MBLL DISTRIBUTION",'Trial Pricing Calculator'!E14="Beer",'Trial Pricing Calculator'!E16="Yes"),ROUND(SUM(B28*0.1),4),ROUND(SUM(B28*0.49),4)),"")</f>
        <v>9.3488000000000007</v>
      </c>
      <c r="F28" s="263">
        <f>MAX(E28,H28)</f>
        <v>9.3488000000000007</v>
      </c>
      <c r="G28" s="217" t="b">
        <f>IFERROR(IF(AND('Trial Pricing Calculator'!E14="Beer",'Trial Pricing Calculator'!K9="Case Cost"),ROUND(SUM(B28+F28+'Trial Pricing Calculator'!L21+'Trial Pricing Calculator'!L22+'Trial Pricing Calculator'!L23),2)),"")</f>
        <v>0</v>
      </c>
      <c r="H28" s="200">
        <f>IF(AND('Trial Pricing Calculator'!D9="MBLL DISTRIBUTION",'Trial Pricing Calculator'!E14="Beer",'Trial Pricing Calculator'!E16="No"),SUM(Calculations!AJ21*Calculations!B7),SUM(Calculations!AJ20*Calculations!B7))</f>
        <v>0.20347499999999999</v>
      </c>
      <c r="J28" s="24"/>
      <c r="K28" s="25"/>
      <c r="L28" s="25"/>
      <c r="M28" s="190">
        <v>1.68</v>
      </c>
      <c r="N28" s="26">
        <v>0.105145</v>
      </c>
    </row>
    <row r="29" spans="1:36" x14ac:dyDescent="0.3">
      <c r="J29" s="28"/>
      <c r="K29" s="52"/>
      <c r="L29" s="52"/>
      <c r="M29" s="52"/>
      <c r="N29" s="32"/>
    </row>
    <row r="30" spans="1:36" x14ac:dyDescent="0.3">
      <c r="A30" s="206" t="s">
        <v>1418</v>
      </c>
      <c r="B30" s="207"/>
      <c r="C30" s="207"/>
      <c r="D30" s="207"/>
      <c r="E30" s="207"/>
      <c r="F30" s="225"/>
      <c r="G30" s="225"/>
      <c r="H30" s="225"/>
      <c r="I30" s="226"/>
      <c r="J30" s="25"/>
      <c r="K30" s="25"/>
      <c r="L30" s="25"/>
      <c r="M30" s="25"/>
      <c r="N30" s="25"/>
    </row>
    <row r="31" spans="1:36" x14ac:dyDescent="0.3">
      <c r="A31" s="211" t="s">
        <v>1429</v>
      </c>
      <c r="B31" s="211" t="s">
        <v>1430</v>
      </c>
      <c r="C31" s="211" t="s">
        <v>799</v>
      </c>
      <c r="D31" s="211" t="s">
        <v>1444</v>
      </c>
      <c r="E31" s="211" t="s">
        <v>1431</v>
      </c>
      <c r="F31" s="211" t="s">
        <v>1432</v>
      </c>
      <c r="G31" s="272" t="s">
        <v>1414</v>
      </c>
      <c r="H31" s="211" t="s">
        <v>1433</v>
      </c>
      <c r="I31" s="211" t="s">
        <v>1413</v>
      </c>
      <c r="K31" s="25"/>
      <c r="L31" s="25"/>
      <c r="M31" s="25"/>
      <c r="N31" s="25"/>
    </row>
    <row r="32" spans="1:36" x14ac:dyDescent="0.3">
      <c r="A32" s="221">
        <f>IFERROR(IF('Trial Pricing Calculator'!D9="","",IF(AND('Trial Pricing Calculator'!L18="",'Trial Pricing Calculator'!D9="MBLL DISTRIBUTION",'Trial Pricing Calculator'!K9="Retail Price"),ROUND(SUM(C32-'Trial Pricing Calculator'!L15-'Trial Pricing Calculator'!L16-'Trial Pricing Calculator'!L17),4),ROUND(SUM(C32-'Trial Pricing Calculator'!L15-'Trial Pricing Calculator'!L16-'Trial Pricing Calculator'!L17-'Trial Pricing Calculator'!L18),4))),0)</f>
        <v>0</v>
      </c>
      <c r="B32" s="264" t="str">
        <f>IF('Trial Pricing Calculator'!D9="","",IF(AND('Trial Pricing Calculator'!D9="MBLL DISTRIBUTION",'Trial Pricing Calculator'!K9="Retail Price"),ROUND(SUM(A32/B4),4),""))</f>
        <v/>
      </c>
      <c r="C32" s="200" t="str">
        <f>IF('Trial Pricing Calculator'!D9="","",IF('Trial Pricing Calculator'!K9="Retail Price",ROUND(F32-E32,4),""))</f>
        <v/>
      </c>
      <c r="D32" s="202" t="str">
        <f>IF('Trial Pricing Calculator'!D9="","",IF(AND('Trial Pricing Calculator'!K9="Retail Price",'Trial Pricing Calculator'!E16="Yes",'Trial Pricing Calculator'!E14="Spirit"),ROUND(Calculations!AE5*Calculations!F32,4),IF(AND('Trial Pricing Calculator'!K9="Retail Price",'Trial Pricing Calculator'!E16="No",'Trial Pricing Calculator'!E14="Spirit"),ROUND(Calculations!AE6*Calculations!F32,4),IF(AND('Trial Pricing Calculator'!K9="Retail Price",'Trial Pricing Calculator'!E16="Yes",'Trial Pricing Calculator'!E14="Wine"),ROUND(AE10*Calculations!F32,4),IF(AND('Trial Pricing Calculator'!K9="Retail Price",'Trial Pricing Calculator'!E16="No",'Trial Pricing Calculator'!E14="Wine"),ROUND(AE11*Calculations!F32,4),IF(AND('Trial Pricing Calculator'!K9="Retail Price",'Trial Pricing Calculator'!E16="Yes",'Trial Pricing Calculator'!E14="Ready_to_Drink"),ROUND(AE15*Calculations!F32,4),IF(AND('Trial Pricing Calculator'!K9="Retail Price",'Trial Pricing Calculator'!E16="No",'Trial Pricing Calculator'!E14="Ready_to_Drink"),ROUND(AE16*Calculations!F32,4),IF(AND('Trial Pricing Calculator'!K9="Retail Price",'Trial Pricing Calculator'!E16="Yes",'Trial Pricing Calculator'!E14="Beer"),ROUND(AE26*Calculations!F32,4),IF(AND('Trial Pricing Calculator'!K9="Retail Price",'Trial Pricing Calculator'!E16="No",'Trial Pricing Calculator'!E14="Beer"),ROUND(AE27*Calculations!F32,6),"")))))))))</f>
        <v/>
      </c>
      <c r="E32" s="202" t="str">
        <f>IF('Trial Pricing Calculator'!D9="","",IF(AND('Trial Pricing Calculator'!D9="MBLL DISTRIBUTION",'Trial Pricing Calculator'!K9="Retail Price"),MAX(Calculations!D32,Calculations!D34),""))</f>
        <v/>
      </c>
      <c r="F32" s="263" t="str">
        <f>IF('Trial Pricing Calculator'!D9="","",IF(AND('Trial Pricing Calculator'!D9="MBLL DISTRIBUTION",'Trial Pricing Calculator'!K9="Retail Price"),SUM(G32-SUM('Trial Pricing Calculator'!L21:L25)),""))</f>
        <v/>
      </c>
      <c r="G32" s="274" t="str">
        <f>IF('Trial Pricing Calculator'!D9="","",IF(AND('Trial Pricing Calculator'!D9="MBLL DISTRIBUTION",'Trial Pricing Calculator'!K9="Retail Price"),Calculations!B17,""))</f>
        <v/>
      </c>
      <c r="H32" s="202">
        <f>IFERROR(IF(AND('Trial Pricing Calculator'!D9="MBLL DISTRIBUTION",'Trial Pricing Calculator'!E14="Beer",'Trial Pricing Calculator'!E16="No"),ROUND(SUM(Calculations!C32*49%),4),ROUND(SUM(C32*10%),4)),0)</f>
        <v>0</v>
      </c>
      <c r="I32" s="265" t="str">
        <f>IF(AND('Trial Pricing Calculator'!E14="Beer",'Trial Pricing Calculator'!D9="MBLL DISTRIBUTION",OR('Trial Pricing Calculator'!E18="No",'Trial Pricing Calculator'!E18="")),ROUND(SUM(Calculations!C32+I34+'Trial Pricing Calculator'!L21+'Trial Pricing Calculator'!L22+'Trial Pricing Calculator'!L23),2),IF(AND('Trial Pricing Calculator'!E14="Beer",'Trial Pricing Calculator'!D9="MBLL DISTRIBUTION",'Trial Pricing Calculator'!E18="Yes"),ROUND(SUM(Calculations!C32+I34+'Trial Pricing Calculator'!L21+'Trial Pricing Calculator'!L22+'Trial Pricing Calculator'!L23+'Trial Pricing Calculator'!L25),2),""))</f>
        <v/>
      </c>
      <c r="J32" s="69"/>
      <c r="K32" s="25"/>
      <c r="L32" s="25"/>
      <c r="M32" s="25"/>
      <c r="N32" s="25"/>
    </row>
    <row r="33" spans="1:14" x14ac:dyDescent="0.3">
      <c r="D33" s="211" t="s">
        <v>4</v>
      </c>
      <c r="H33" s="211" t="s">
        <v>4</v>
      </c>
      <c r="I33" s="275" t="s">
        <v>1458</v>
      </c>
      <c r="J33" s="25"/>
      <c r="K33" s="269"/>
      <c r="L33" s="25"/>
      <c r="M33" s="25"/>
      <c r="N33" s="25"/>
    </row>
    <row r="34" spans="1:14" x14ac:dyDescent="0.3">
      <c r="A34" s="1"/>
      <c r="D34" s="202">
        <f>IF('Trial Pricing Calculator'!E14="Spirit",J13,IF('Trial Pricing Calculator'!E14="Wine",K13,IF(AND('Trial Pricing Calculator'!E14="Ready_to_Drink",B9=1),L13,IF(AND('Trial Pricing Calculator'!E14="Ready_to_Drink",Calculations!B9&gt;=1),Calculations!L18,IF(AND('Trial Pricing Calculator'!E14="Beer",Calculations!B9=1,Calculations!B10="Can"),Calculations!M18,IF(AND('Trial Pricing Calculator'!E14="Beer",Calculations!B9=1,Calculations!B10="Bottle"),Calculations!M13,IF(AND('Trial Pricing Calculator'!E14="Beer",Calculations!B9&gt;1,Calculations!B10="Can"),Calculations!N18,IF(AND('Trial Pricing Calculator'!E14="Beer",Calculations!B9&gt;1,Calculations!B10="Bottle"),Calculations!N13,""))))))))</f>
        <v>14.6782</v>
      </c>
      <c r="H34" s="202">
        <f>IF(AND('Trial Pricing Calculator'!D9="MBLL DISTRIBUTION",'Trial Pricing Calculator'!E14="Beer",'Trial Pricing Calculator'!E16="No"),SUM(Calculations!AJ21*Calculations!B7),SUM(Calculations!AJ20*Calculations!B7))</f>
        <v>0.20347499999999999</v>
      </c>
      <c r="I34" s="202">
        <f>MAX(H32,H34)</f>
        <v>0.20347499999999999</v>
      </c>
      <c r="J34" s="269"/>
      <c r="K34" s="25"/>
      <c r="L34" s="25"/>
      <c r="M34" s="25"/>
      <c r="N34" s="25"/>
    </row>
    <row r="35" spans="1:14" x14ac:dyDescent="0.3">
      <c r="H35" s="69"/>
      <c r="J35" s="25"/>
      <c r="K35" s="25"/>
      <c r="L35" s="25"/>
      <c r="M35" s="25"/>
      <c r="N35" s="25"/>
    </row>
    <row r="36" spans="1:14" x14ac:dyDescent="0.3">
      <c r="A36" s="199" t="s">
        <v>1411</v>
      </c>
      <c r="J36" s="29"/>
      <c r="K36" s="29"/>
      <c r="L36" s="29"/>
      <c r="M36" s="29"/>
      <c r="N36" s="29"/>
    </row>
    <row r="37" spans="1:14" x14ac:dyDescent="0.3">
      <c r="A37" s="206" t="s">
        <v>1412</v>
      </c>
      <c r="B37" s="207"/>
      <c r="C37" s="207"/>
      <c r="D37" s="207"/>
      <c r="E37" s="207"/>
      <c r="F37" s="208"/>
      <c r="G37" s="209"/>
      <c r="J37" s="29"/>
      <c r="K37" s="29"/>
      <c r="L37" s="29"/>
      <c r="M37" s="29"/>
      <c r="N37" s="29"/>
    </row>
    <row r="38" spans="1:14" x14ac:dyDescent="0.3">
      <c r="A38" s="211" t="s">
        <v>1410</v>
      </c>
      <c r="B38" s="211" t="s">
        <v>737</v>
      </c>
      <c r="C38" s="211" t="s">
        <v>682</v>
      </c>
      <c r="D38" s="211" t="s">
        <v>1413</v>
      </c>
      <c r="E38" s="211" t="s">
        <v>737</v>
      </c>
      <c r="F38" s="272" t="s">
        <v>1414</v>
      </c>
      <c r="G38" s="275" t="s">
        <v>1445</v>
      </c>
      <c r="J38" s="29"/>
      <c r="K38" s="29"/>
      <c r="L38" s="29"/>
      <c r="M38" s="29"/>
      <c r="N38" s="29"/>
    </row>
    <row r="39" spans="1:14" x14ac:dyDescent="0.3">
      <c r="A39" s="221">
        <f>IF(OR('Trial Pricing Calculator'!K9="Licensee Price",'Trial Pricing Calculator'!K9="Retail Price"),"",IF(AND('Trial Pricing Calculator'!K9="Gross Price to Brewer",'Trial Pricing Calculator'!E18="Yes"),SUM('Trial Pricing Calculator'!L9-'Trial Pricing Calculator'!E32),'Trial Pricing Calculator'!L9))</f>
        <v>60.1</v>
      </c>
      <c r="B39" s="202" t="str">
        <f>IF(A39="","",IF(AND('Trial Pricing Calculator'!E14="Beer",'Trial Pricing Calculator'!E16="Yes"),ROUND(SUM(Calculations!$A$39*0.1),4),IF(AND('Trial Pricing Calculator'!E14="Beer",'Trial Pricing Calculator'!E16="No"),ROUND(SUM(Calculations!$A$39*0.49),4),IF(AND('Trial Pricing Calculator'!E14="Ready_to_Drink",'Trial Pricing Calculator'!E16="Yes"),ROUND(SUM(Calculations!A39*0.4),4),IF(AND('Trial Pricing Calculator'!E14="Ready_to_Drink",'Trial Pricing Calculator'!E16="No"),ROUND(SUM(Calculations!A39*0.95),4),"")))))</f>
        <v/>
      </c>
      <c r="C39" s="202" t="b">
        <f>IF(A39="","",IF(AND('Trial Pricing Calculator'!D9="PRIVATE DISTRIBUTION",'Trial Pricing Calculator'!E14="Beer"),MAX(Calculations!B39,Calculations!O13),IF(AND('Trial Pricing Calculator'!E14="Ready_to_Drink",Calculations!B9=1),MAX(B39,L13),IF(AND('Trial Pricing Calculator'!E14="Ready_to_Drink",Calculations!B9&gt;1),MAX(B39,L18)))))</f>
        <v>0</v>
      </c>
      <c r="D39" s="219" t="str">
        <f>IF(A39="","",IF(AND('Trial Pricing Calculator'!D9="PRIVATE DISTRIBUTION",'Trial Pricing Calculator'!E14="Ready_to_Drink"),ROUND(Calculations!F39-G39,4),IF(AND('Trial Pricing Calculator'!D9="PRIVATE DISTRIBUTION",'Trial Pricing Calculator'!E14="Beer"),ROUND(SUM(A39+C39+G13+G19+B21),4),"")))</f>
        <v/>
      </c>
      <c r="E39" s="200" t="str">
        <f>IF(A39="","",IF(AND('Trial Pricing Calculator'!D9="PRIVATE DISTRIBUTION",'Trial Pricing Calculator'!E14="Ready_to_Drink"),ROUND(Calculations!F39*(11.75/100),4),IF(AND('Trial Pricing Calculator'!D9="PRIVATE DISTRIBUTION",'Trial Pricing Calculator'!E14="Beer"),ROUND(D39*(17/100),4),"")))</f>
        <v/>
      </c>
      <c r="F39" s="273" t="e">
        <f>IF(A39="","",IF('Trial Pricing Calculator'!E14="Ready_to_Drink",SUM(A39+C39+'Trial Pricing Calculator'!L21+'Trial Pricing Calculator'!L22),SUM(D39+E39)))</f>
        <v>#VALUE!</v>
      </c>
      <c r="G39" s="200" t="b">
        <f>IF(A39="","",IF(AND('Trial Pricing Calculator'!E14="Ready_to_Drink",Calculations!B9=1),MAX(Calculations!E39,Calculations!L13),IF(AND('Trial Pricing Calculator'!E14="Ready_to_Drink",Calculations!B9&gt;1),MAX(Calculations!E39,Calculations!L18))))</f>
        <v>0</v>
      </c>
      <c r="J39" s="29"/>
      <c r="K39" s="29"/>
      <c r="L39" s="29"/>
      <c r="M39" s="29"/>
      <c r="N39" s="29"/>
    </row>
    <row r="40" spans="1:14" x14ac:dyDescent="0.3">
      <c r="J40" s="29"/>
      <c r="K40" s="29"/>
      <c r="L40" s="29"/>
      <c r="M40" s="29"/>
      <c r="N40" s="29"/>
    </row>
    <row r="41" spans="1:14" x14ac:dyDescent="0.3">
      <c r="A41" s="206" t="s">
        <v>1418</v>
      </c>
      <c r="B41" s="207"/>
      <c r="C41" s="207"/>
      <c r="D41" s="207"/>
      <c r="E41" s="207"/>
      <c r="F41" s="207"/>
      <c r="G41" s="208"/>
      <c r="J41" s="29"/>
      <c r="K41" s="29"/>
      <c r="L41" s="29"/>
      <c r="M41" s="29"/>
      <c r="N41" s="29"/>
    </row>
    <row r="42" spans="1:14" x14ac:dyDescent="0.3">
      <c r="A42" s="211" t="s">
        <v>1410</v>
      </c>
      <c r="B42" s="211" t="s">
        <v>737</v>
      </c>
      <c r="C42" s="211" t="s">
        <v>682</v>
      </c>
      <c r="D42" s="211" t="s">
        <v>1413</v>
      </c>
      <c r="E42" s="211" t="s">
        <v>737</v>
      </c>
      <c r="F42" s="272" t="s">
        <v>1414</v>
      </c>
      <c r="G42" s="211" t="s">
        <v>1427</v>
      </c>
      <c r="H42" s="275" t="s">
        <v>1445</v>
      </c>
      <c r="J42" s="29"/>
      <c r="K42" s="29"/>
      <c r="L42" s="29"/>
      <c r="M42" s="29"/>
      <c r="N42" s="29"/>
    </row>
    <row r="43" spans="1:14" x14ac:dyDescent="0.3">
      <c r="A43" s="221" t="str">
        <f>IF(F43="","",IF('Trial Pricing Calculator'!E14="Ready_to_Drink",ROUND(SUM(F43-H43-Calculations!F13-Calculations!F19),4),ROUND(SUM(F43-E43-Calculations!G13-Calculations!G19-Calculations!B21-Calculations!C43),4)))</f>
        <v/>
      </c>
      <c r="B43" s="200" t="str">
        <f>IF(F43="","",IF(AND('Trial Pricing Calculator'!E14="Beer",'Trial Pricing Calculator'!E16="Yes"),ROUND(SUM(Calculations!G43*Calculations!W4),4),IF(AND('Trial Pricing Calculator'!E14="Beer",'Trial Pricing Calculator'!E16="No"),ROUND(SUM(Calculations!G43*Calculations!W5),4),IF(AND('Trial Pricing Calculator'!D9="PRIVATE DISTRIBUTION",'Trial Pricing Calculator'!E14="Ready_to_Drink"),ROUND(Calculations!F43*Calculations!N28,4),""))))</f>
        <v/>
      </c>
      <c r="C43" s="200" t="str">
        <f>IF(F43="","",IF(AND('Trial Pricing Calculator'!D9="PRIVATE DISTRIBUTION",'Trial Pricing Calculator'!E14="Beer"),MAX(B43,O13),ROUND(F43*(11.75/100),4)))</f>
        <v/>
      </c>
      <c r="D43" s="219" t="str">
        <f>IF(F43="","",IF(AND('Trial Pricing Calculator'!D9="PRIVATE DISTRIBUTION",'Trial Pricing Calculator'!E14="Ready_to_Drink"),ROUND(Calculations!F43-Calculations!C43,4),ROUND(SUM(F43-E43),4)))</f>
        <v/>
      </c>
      <c r="E43" s="202" t="str">
        <f>IF(F43="","",IF(AND('Trial Pricing Calculator'!D9="PRIVATE DISTRIBUTION",'Trial Pricing Calculator'!E14="Ready_to_Drink",'Trial Pricing Calculator'!E16="Yes"),ROUND(SUM(AE15*(Calculations!F43-'Trial Pricing Calculator'!L21-'Trial Pricing Calculator'!L22)),4),IF(AND('Trial Pricing Calculator'!D9="PRIVATE DISTRIBUTION",'Trial Pricing Calculator'!E14="Ready_to_Drink",'Trial Pricing Calculator'!E16="No"),ROUND(SUM(Calculations!F43-'Trial Pricing Calculator'!L21-'Trial Pricing Calculator'!L22)*Calculations!AE16,4),IF(AND('Trial Pricing Calculator'!D9="PRIVATE DISTRIBUTION",'Trial Pricing Calculator'!E14="Beer"),ROUND(SUM(Calculations!F43*Y5),4),""))))</f>
        <v/>
      </c>
      <c r="F43" s="273" t="str">
        <f>IF(AND('Trial Pricing Calculator'!D9="PRIVATE DISTRIBUTION",'Trial Pricing Calculator'!K9="Retail Price"),SUM('Trial Pricing Calculator'!L9+0.004),"")</f>
        <v/>
      </c>
      <c r="G43" s="200" t="str">
        <f>IF(F43="","",ROUND(SUM(F43-E43-'Trial Pricing Calculator'!L21-'Trial Pricing Calculator'!L22-B21),4))</f>
        <v/>
      </c>
      <c r="H43" s="200" t="str">
        <f>IF(AND('Trial Pricing Calculator'!D9="PRIVATE DISTRIBUTION",'Trial Pricing Calculator'!E14="Ready_to_Drink",B9=1),MAX(Calculations!E43,Calculations!L13),IF(AND('Trial Pricing Calculator'!D9="PRIVATE DISTRIBUTION",'Trial Pricing Calculator'!E14="Ready_to_Drink",B9&gt;1),MAX(Calculations!E43,Calculations!L18),""))</f>
        <v/>
      </c>
      <c r="J43" s="29"/>
      <c r="K43" s="29"/>
      <c r="L43" s="29"/>
      <c r="M43" s="29"/>
      <c r="N43" s="29"/>
    </row>
    <row r="44" spans="1:14" x14ac:dyDescent="0.3">
      <c r="A44" s="89"/>
      <c r="J44" s="29"/>
      <c r="K44" s="29"/>
      <c r="L44" s="29"/>
      <c r="M44" s="29"/>
      <c r="N44" s="29"/>
    </row>
    <row r="45" spans="1:14" x14ac:dyDescent="0.3">
      <c r="A45" s="206" t="s">
        <v>1419</v>
      </c>
      <c r="B45" s="207"/>
      <c r="C45" s="207"/>
      <c r="D45" s="207"/>
      <c r="E45" s="207"/>
      <c r="F45" s="207"/>
      <c r="G45" s="208"/>
      <c r="J45" s="29"/>
      <c r="K45" s="29"/>
      <c r="L45" s="29"/>
      <c r="M45" s="29"/>
      <c r="N45" s="29"/>
    </row>
    <row r="46" spans="1:14" x14ac:dyDescent="0.3">
      <c r="A46" s="211" t="s">
        <v>1410</v>
      </c>
      <c r="B46" s="211" t="s">
        <v>737</v>
      </c>
      <c r="C46" s="211" t="s">
        <v>682</v>
      </c>
      <c r="D46" s="211" t="s">
        <v>1413</v>
      </c>
      <c r="E46" s="211" t="s">
        <v>737</v>
      </c>
      <c r="F46" s="272" t="s">
        <v>1414</v>
      </c>
      <c r="G46" s="211" t="s">
        <v>1427</v>
      </c>
      <c r="H46" s="275" t="s">
        <v>1445</v>
      </c>
      <c r="J46" s="29"/>
      <c r="K46" s="29"/>
      <c r="L46" s="29"/>
      <c r="M46" s="29"/>
      <c r="N46" s="29"/>
    </row>
    <row r="47" spans="1:14" x14ac:dyDescent="0.3">
      <c r="A47" s="222" t="str">
        <f>IF(D47="","",ROUND(SUM(D47-C47-G13-G19-B21),4))</f>
        <v/>
      </c>
      <c r="B47" s="200" t="str">
        <f>IF(D47="","",IF(AND('Trial Pricing Calculator'!E14="Beer",'Trial Pricing Calculator'!E16="Yes"),ROUND(SUM(Calculations!G47*Calculations!W4),4),IF(AND('Trial Pricing Calculator'!E14="Beer",'Trial Pricing Calculator'!E16="No"),ROUND(SUM(Calculations!G47*Calculations!W5),4),IF(AND('Trial Pricing Calculator'!D9="PRIVATE DISTRIBUTION",'Trial Pricing Calculator'!E14="Ready_to_Drink",'Trial Pricing Calculator'!E16="Yes"),ROUND(SUM(Calculations!F47-F13-F19)*Calculations!AE15,4),IF(AND('Trial Pricing Calculator'!D9="PRIVATE DISTRIBUTION",'Trial Pricing Calculator'!E14="Ready_to_Drink",'Trial Pricing Calculator'!E16="No"),ROUND(SUM(Calculations!F47-F13-F19)*Calculations!AE16,4),"")))))</f>
        <v/>
      </c>
      <c r="C47" s="200" t="str">
        <f>IF(D47="","",ROUND(IF(AND('Trial Pricing Calculator'!D9="PRIVATE DISTRIBUTION",'Trial Pricing Calculator'!E14="Beer"),MAX(B47,O13)),4))</f>
        <v/>
      </c>
      <c r="D47" s="220" t="str">
        <f>IF('Trial Pricing Calculator'!K9="Licensee Price",'Trial Pricing Calculator'!L9,"")</f>
        <v/>
      </c>
      <c r="E47" s="200" t="str">
        <f>IF(D47="","",IF('Trial Pricing Calculator'!E14="Ready_to_Drink",Calculations!N28*Calculations!D47,ROUND(SUM(D47*($X$5/100)),4)))</f>
        <v/>
      </c>
      <c r="F47" s="273" t="str">
        <f>IF(D47="","",ROUND(SUM(D47+E47-0.0004),2))</f>
        <v/>
      </c>
      <c r="G47" s="202" t="str">
        <f>IF(D47="","",IF('Trial Pricing Calculator'!E14="Ready_to_Drink",SUM(Calculations!F47-Calculations!C47-Calculations!F13-Calculations!F19),ROUND(SUM(F47-E47-B21-G19-G13),4)))</f>
        <v/>
      </c>
      <c r="H47" s="200" t="str">
        <f>IF(AND('Trial Pricing Calculator'!D9="PRIVATE DISTRIBUTION",'Trial Pricing Calculator'!E14="Ready_to_Drink"),MAX(Calculations!E47,Calculations!L13),"")</f>
        <v/>
      </c>
      <c r="J47" s="29"/>
      <c r="K47" s="29"/>
      <c r="L47" s="29"/>
      <c r="M47" s="29"/>
      <c r="N47" s="29"/>
    </row>
    <row r="48" spans="1:14" x14ac:dyDescent="0.3">
      <c r="J48" s="29"/>
      <c r="K48" s="29"/>
      <c r="L48" s="29"/>
      <c r="M48" s="29"/>
      <c r="N48" s="29"/>
    </row>
    <row r="49" spans="1:14" x14ac:dyDescent="0.3">
      <c r="J49" s="29"/>
      <c r="K49" s="29"/>
      <c r="L49" s="29"/>
      <c r="M49" s="29"/>
      <c r="N49" s="29"/>
    </row>
    <row r="50" spans="1:14" x14ac:dyDescent="0.3">
      <c r="J50" s="29"/>
      <c r="K50" s="29"/>
      <c r="L50" s="29"/>
      <c r="M50" s="29"/>
      <c r="N50" s="29"/>
    </row>
    <row r="51" spans="1:14" x14ac:dyDescent="0.3">
      <c r="J51" s="29"/>
      <c r="K51" s="29"/>
      <c r="L51" s="29"/>
      <c r="M51" s="29"/>
      <c r="N51" s="29"/>
    </row>
    <row r="52" spans="1:14" x14ac:dyDescent="0.3">
      <c r="J52" s="29"/>
      <c r="K52" s="29"/>
      <c r="L52" s="29"/>
      <c r="M52" s="29"/>
      <c r="N52" s="29"/>
    </row>
    <row r="53" spans="1:14" x14ac:dyDescent="0.3">
      <c r="J53" s="29"/>
      <c r="K53" s="29"/>
      <c r="L53" s="29"/>
      <c r="M53" s="29"/>
      <c r="N53" s="29"/>
    </row>
    <row r="54" spans="1:14" x14ac:dyDescent="0.3">
      <c r="A54" s="353" t="s">
        <v>1453</v>
      </c>
      <c r="B54" s="353"/>
      <c r="C54" s="353"/>
      <c r="D54" s="353"/>
      <c r="J54" s="29"/>
      <c r="K54" s="29"/>
      <c r="L54" s="29"/>
      <c r="M54" s="29"/>
      <c r="N54" s="29"/>
    </row>
    <row r="55" spans="1:14" x14ac:dyDescent="0.3">
      <c r="A55" t="s">
        <v>1447</v>
      </c>
      <c r="B55">
        <f>'Trial Pricing Calculator'!L14</f>
        <v>14.1235</v>
      </c>
      <c r="J55" s="29"/>
      <c r="K55" s="29"/>
      <c r="L55" s="29"/>
      <c r="M55" s="29"/>
      <c r="N55" s="29"/>
    </row>
    <row r="56" spans="1:14" x14ac:dyDescent="0.3">
      <c r="A56" t="s">
        <v>1448</v>
      </c>
      <c r="B56">
        <f>'Trial Pricing Calculator'!L15</f>
        <v>0.88500000000000001</v>
      </c>
      <c r="J56" s="29"/>
      <c r="K56" s="29"/>
      <c r="L56" s="29"/>
      <c r="M56" s="29"/>
      <c r="N56" s="29"/>
    </row>
    <row r="57" spans="1:14" x14ac:dyDescent="0.3">
      <c r="A57" t="s">
        <v>1449</v>
      </c>
      <c r="B57">
        <f>'Trial Pricing Calculator'!L16</f>
        <v>0</v>
      </c>
      <c r="J57" s="29"/>
      <c r="K57" s="29"/>
      <c r="L57" s="29"/>
      <c r="M57" s="29"/>
      <c r="N57" s="29"/>
    </row>
    <row r="58" spans="1:14" x14ac:dyDescent="0.3">
      <c r="A58" t="s">
        <v>1450</v>
      </c>
      <c r="B58">
        <f>'Trial Pricing Calculator'!L17</f>
        <v>4.0707000000000004</v>
      </c>
      <c r="J58" s="29"/>
      <c r="K58" s="29"/>
      <c r="L58" s="29"/>
      <c r="M58" s="29"/>
      <c r="N58" s="29"/>
    </row>
    <row r="59" spans="1:14" x14ac:dyDescent="0.3">
      <c r="J59" s="29"/>
      <c r="K59" s="29"/>
      <c r="L59" s="29"/>
      <c r="M59" s="29"/>
      <c r="N59" s="29"/>
    </row>
    <row r="60" spans="1:14" x14ac:dyDescent="0.3">
      <c r="A60" t="s">
        <v>682</v>
      </c>
      <c r="B60">
        <f>'Trial Pricing Calculator'!L20</f>
        <v>29.191176000000002</v>
      </c>
      <c r="J60" s="29"/>
      <c r="K60" s="29"/>
      <c r="L60" s="29"/>
      <c r="M60" s="29"/>
      <c r="N60" s="29"/>
    </row>
    <row r="61" spans="1:14" x14ac:dyDescent="0.3">
      <c r="A61" t="s">
        <v>1451</v>
      </c>
      <c r="B61">
        <f>'Trial Pricing Calculator'!L21</f>
        <v>1.0425</v>
      </c>
      <c r="J61" s="29"/>
      <c r="K61" s="29"/>
      <c r="L61" s="29"/>
      <c r="M61" s="29"/>
      <c r="N61" s="29"/>
    </row>
    <row r="62" spans="1:14" x14ac:dyDescent="0.3">
      <c r="A62" t="s">
        <v>1452</v>
      </c>
      <c r="B62">
        <f>'Trial Pricing Calculator'!L22</f>
        <v>0</v>
      </c>
      <c r="J62" s="29"/>
      <c r="K62" s="29"/>
      <c r="L62" s="29"/>
      <c r="M62" s="29"/>
      <c r="N62" s="29"/>
    </row>
    <row r="63" spans="1:14" x14ac:dyDescent="0.3">
      <c r="A63" t="s">
        <v>796</v>
      </c>
      <c r="B63">
        <f>'Trial Pricing Calculator'!L23</f>
        <v>0.28500000000000003</v>
      </c>
      <c r="J63" s="29"/>
      <c r="K63" s="29"/>
      <c r="L63" s="29"/>
      <c r="M63" s="29"/>
      <c r="N63" s="29"/>
    </row>
    <row r="64" spans="1:14" x14ac:dyDescent="0.3">
      <c r="A64" t="s">
        <v>1456</v>
      </c>
      <c r="B64" t="str">
        <f>'Trial Pricing Calculator'!L24</f>
        <v/>
      </c>
      <c r="J64" s="29"/>
      <c r="K64" s="29"/>
      <c r="L64" s="29"/>
      <c r="M64" s="29"/>
      <c r="N64" s="29"/>
    </row>
    <row r="65" spans="1:14" x14ac:dyDescent="0.3">
      <c r="A65" t="s">
        <v>1455</v>
      </c>
      <c r="B65" s="276">
        <f>SUM(B55:B64)</f>
        <v>49.597875999999992</v>
      </c>
      <c r="J65" s="29"/>
      <c r="K65" s="29"/>
      <c r="L65" s="29"/>
      <c r="M65" s="29"/>
      <c r="N65" s="29"/>
    </row>
    <row r="66" spans="1:14" x14ac:dyDescent="0.3">
      <c r="J66" s="29"/>
      <c r="K66" s="29"/>
      <c r="L66" s="29"/>
      <c r="M66" s="29"/>
      <c r="N66" s="29"/>
    </row>
    <row r="67" spans="1:14" x14ac:dyDescent="0.3">
      <c r="J67" s="29"/>
      <c r="K67" s="29"/>
      <c r="L67" s="29"/>
      <c r="M67" s="29"/>
      <c r="N67" s="29"/>
    </row>
    <row r="68" spans="1:14" x14ac:dyDescent="0.3">
      <c r="J68" s="29"/>
      <c r="K68" s="29"/>
      <c r="L68" s="29"/>
      <c r="M68" s="29"/>
      <c r="N68" s="29"/>
    </row>
    <row r="69" spans="1:14" x14ac:dyDescent="0.3">
      <c r="J69" s="29"/>
      <c r="K69" s="29"/>
      <c r="L69" s="29"/>
      <c r="M69" s="29"/>
      <c r="N69" s="29"/>
    </row>
    <row r="70" spans="1:14" x14ac:dyDescent="0.3">
      <c r="J70" s="29"/>
      <c r="K70" s="29"/>
      <c r="L70" s="29"/>
      <c r="M70" s="29"/>
      <c r="N70" s="29"/>
    </row>
    <row r="71" spans="1:14" x14ac:dyDescent="0.3">
      <c r="A71" s="353" t="s">
        <v>1454</v>
      </c>
      <c r="B71" s="353"/>
      <c r="C71" s="353"/>
      <c r="D71" s="353"/>
      <c r="J71" s="29"/>
      <c r="K71" s="29"/>
      <c r="L71" s="29"/>
      <c r="M71" s="29"/>
      <c r="N71" s="29"/>
    </row>
    <row r="72" spans="1:14" x14ac:dyDescent="0.3">
      <c r="A72" t="s">
        <v>1447</v>
      </c>
      <c r="B72">
        <v>7.25</v>
      </c>
      <c r="J72" s="29"/>
      <c r="K72" s="29"/>
      <c r="L72" s="29"/>
      <c r="M72" s="29"/>
      <c r="N72" s="29"/>
    </row>
    <row r="73" spans="1:14" x14ac:dyDescent="0.3">
      <c r="A73" t="s">
        <v>682</v>
      </c>
      <c r="B73">
        <v>7.8871089999999997</v>
      </c>
      <c r="J73" s="29"/>
      <c r="K73" s="29"/>
      <c r="L73" s="29"/>
      <c r="M73" s="29"/>
      <c r="N73" s="29"/>
    </row>
    <row r="74" spans="1:14" x14ac:dyDescent="0.3">
      <c r="A74" t="s">
        <v>1451</v>
      </c>
      <c r="B74">
        <v>2.242</v>
      </c>
      <c r="J74" s="29"/>
      <c r="K74" s="29"/>
      <c r="L74" s="29"/>
      <c r="M74" s="29"/>
      <c r="N74" s="29"/>
    </row>
    <row r="75" spans="1:14" x14ac:dyDescent="0.3">
      <c r="A75" t="s">
        <v>1452</v>
      </c>
      <c r="B75">
        <v>0.35639999999999999</v>
      </c>
      <c r="J75" s="29"/>
      <c r="K75" s="29"/>
      <c r="L75" s="29"/>
      <c r="M75" s="29"/>
      <c r="N75" s="29"/>
    </row>
    <row r="76" spans="1:14" x14ac:dyDescent="0.3">
      <c r="A76" t="s">
        <v>1456</v>
      </c>
      <c r="B76">
        <v>0</v>
      </c>
      <c r="J76" s="29"/>
      <c r="K76" s="29"/>
      <c r="L76" s="29"/>
      <c r="M76" s="29"/>
      <c r="N76" s="29"/>
    </row>
    <row r="77" spans="1:14" x14ac:dyDescent="0.3">
      <c r="J77" s="29"/>
      <c r="K77" s="29"/>
      <c r="L77" s="29"/>
      <c r="M77" s="29"/>
      <c r="N77" s="29"/>
    </row>
    <row r="78" spans="1:14" x14ac:dyDescent="0.3">
      <c r="J78" s="29"/>
      <c r="K78" s="29"/>
      <c r="L78" s="29"/>
      <c r="M78" s="29"/>
      <c r="N78" s="29"/>
    </row>
    <row r="79" spans="1:14" x14ac:dyDescent="0.3">
      <c r="J79" s="29"/>
      <c r="K79" s="29"/>
      <c r="L79" s="29"/>
      <c r="M79" s="29"/>
      <c r="N79" s="29"/>
    </row>
    <row r="80" spans="1:14" x14ac:dyDescent="0.3">
      <c r="J80" s="29"/>
      <c r="K80" s="29"/>
      <c r="L80" s="29"/>
      <c r="M80" s="29"/>
      <c r="N80" s="29"/>
    </row>
    <row r="81" spans="10:14" x14ac:dyDescent="0.3">
      <c r="J81" s="29"/>
      <c r="K81" s="29"/>
      <c r="L81" s="29"/>
      <c r="M81" s="29"/>
      <c r="N81" s="29"/>
    </row>
    <row r="82" spans="10:14" x14ac:dyDescent="0.3">
      <c r="J82" s="29"/>
      <c r="K82" s="29"/>
      <c r="L82" s="29"/>
      <c r="M82" s="29"/>
      <c r="N82" s="29"/>
    </row>
    <row r="83" spans="10:14" x14ac:dyDescent="0.3">
      <c r="J83" s="29"/>
      <c r="K83" s="29"/>
      <c r="L83" s="29"/>
      <c r="M83" s="29"/>
      <c r="N83" s="29"/>
    </row>
    <row r="84" spans="10:14" x14ac:dyDescent="0.3">
      <c r="J84" s="29"/>
      <c r="K84" s="29"/>
      <c r="L84" s="29"/>
      <c r="M84" s="29"/>
      <c r="N84" s="29"/>
    </row>
    <row r="85" spans="10:14" x14ac:dyDescent="0.3">
      <c r="J85" s="29"/>
      <c r="K85" s="29"/>
      <c r="L85" s="29"/>
      <c r="M85" s="29"/>
      <c r="N85" s="29"/>
    </row>
    <row r="86" spans="10:14" x14ac:dyDescent="0.3">
      <c r="J86" s="29"/>
      <c r="K86" s="29"/>
      <c r="L86" s="29"/>
      <c r="M86" s="29"/>
      <c r="N86" s="29"/>
    </row>
    <row r="87" spans="10:14" x14ac:dyDescent="0.3">
      <c r="J87" s="29"/>
      <c r="K87" s="29"/>
      <c r="L87" s="29"/>
      <c r="M87" s="29"/>
      <c r="N87" s="29"/>
    </row>
    <row r="88" spans="10:14" x14ac:dyDescent="0.3">
      <c r="J88" s="29"/>
      <c r="K88" s="29"/>
      <c r="L88" s="29"/>
      <c r="M88" s="29"/>
      <c r="N88" s="29"/>
    </row>
    <row r="89" spans="10:14" x14ac:dyDescent="0.3">
      <c r="J89" s="29"/>
      <c r="K89" s="29"/>
      <c r="L89" s="29"/>
      <c r="M89" s="29"/>
      <c r="N89" s="29"/>
    </row>
    <row r="90" spans="10:14" x14ac:dyDescent="0.3">
      <c r="J90" s="29"/>
      <c r="K90" s="29"/>
      <c r="L90" s="29"/>
      <c r="M90" s="29"/>
      <c r="N90" s="29"/>
    </row>
    <row r="91" spans="10:14" x14ac:dyDescent="0.3">
      <c r="J91" s="29"/>
      <c r="K91" s="29"/>
      <c r="L91" s="29"/>
      <c r="M91" s="29"/>
      <c r="N91" s="29"/>
    </row>
    <row r="92" spans="10:14" x14ac:dyDescent="0.3">
      <c r="J92" s="29"/>
      <c r="K92" s="29"/>
      <c r="L92" s="29"/>
      <c r="M92" s="29"/>
      <c r="N92" s="29"/>
    </row>
    <row r="93" spans="10:14" x14ac:dyDescent="0.3">
      <c r="J93" s="29"/>
      <c r="K93" s="29"/>
      <c r="L93" s="29"/>
      <c r="M93" s="29"/>
      <c r="N93" s="29"/>
    </row>
    <row r="94" spans="10:14" x14ac:dyDescent="0.3">
      <c r="J94" s="29"/>
      <c r="K94" s="29"/>
      <c r="L94" s="29"/>
      <c r="M94" s="29"/>
      <c r="N94" s="29"/>
    </row>
    <row r="95" spans="10:14" x14ac:dyDescent="0.3">
      <c r="J95" s="29"/>
      <c r="K95" s="29"/>
      <c r="L95" s="29"/>
      <c r="M95" s="29"/>
      <c r="N95" s="29"/>
    </row>
    <row r="96" spans="10:14" x14ac:dyDescent="0.3">
      <c r="J96" s="29"/>
      <c r="K96" s="29"/>
      <c r="L96" s="29"/>
      <c r="M96" s="29"/>
      <c r="N96" s="29"/>
    </row>
    <row r="97" spans="10:14" x14ac:dyDescent="0.3">
      <c r="J97" s="29"/>
      <c r="K97" s="29"/>
      <c r="L97" s="29"/>
      <c r="M97" s="29"/>
      <c r="N97" s="29"/>
    </row>
    <row r="98" spans="10:14" x14ac:dyDescent="0.3">
      <c r="J98" s="29"/>
      <c r="K98" s="29"/>
      <c r="L98" s="29"/>
      <c r="M98" s="29"/>
      <c r="N98" s="29"/>
    </row>
    <row r="99" spans="10:14" x14ac:dyDescent="0.3">
      <c r="J99" s="29"/>
      <c r="K99" s="29"/>
      <c r="L99" s="29"/>
      <c r="M99" s="29"/>
      <c r="N99" s="29"/>
    </row>
    <row r="100" spans="10:14" x14ac:dyDescent="0.3">
      <c r="J100" s="29"/>
      <c r="K100" s="29"/>
      <c r="L100" s="29"/>
      <c r="M100" s="29"/>
      <c r="N100" s="29"/>
    </row>
    <row r="101" spans="10:14" x14ac:dyDescent="0.3">
      <c r="J101" s="29"/>
      <c r="K101" s="29"/>
      <c r="L101" s="29"/>
      <c r="M101" s="29"/>
      <c r="N101" s="29"/>
    </row>
    <row r="102" spans="10:14" x14ac:dyDescent="0.3">
      <c r="J102" s="29"/>
      <c r="K102" s="29"/>
      <c r="L102" s="29"/>
      <c r="M102" s="29"/>
      <c r="N102" s="29"/>
    </row>
    <row r="103" spans="10:14" x14ac:dyDescent="0.3">
      <c r="J103" s="29"/>
      <c r="K103" s="29"/>
      <c r="L103" s="29"/>
      <c r="M103" s="29"/>
      <c r="N103" s="29"/>
    </row>
    <row r="104" spans="10:14" x14ac:dyDescent="0.3">
      <c r="J104" s="29"/>
      <c r="K104" s="29"/>
      <c r="L104" s="29"/>
      <c r="M104" s="29"/>
      <c r="N104" s="29"/>
    </row>
    <row r="105" spans="10:14" x14ac:dyDescent="0.3">
      <c r="J105" s="29"/>
      <c r="K105" s="29"/>
      <c r="L105" s="29"/>
      <c r="M105" s="29"/>
      <c r="N105" s="29"/>
    </row>
    <row r="106" spans="10:14" x14ac:dyDescent="0.3">
      <c r="J106" s="29"/>
      <c r="K106" s="29"/>
      <c r="L106" s="29"/>
      <c r="M106" s="29"/>
      <c r="N106" s="29"/>
    </row>
    <row r="107" spans="10:14" x14ac:dyDescent="0.3">
      <c r="J107" s="29"/>
      <c r="K107" s="29"/>
      <c r="L107" s="29"/>
      <c r="M107" s="29"/>
      <c r="N107" s="29"/>
    </row>
    <row r="108" spans="10:14" x14ac:dyDescent="0.3">
      <c r="J108" s="29"/>
      <c r="K108" s="29"/>
      <c r="L108" s="29"/>
      <c r="M108" s="29"/>
      <c r="N108" s="29"/>
    </row>
    <row r="109" spans="10:14" x14ac:dyDescent="0.3">
      <c r="J109" s="29"/>
      <c r="K109" s="29"/>
      <c r="L109" s="29"/>
      <c r="M109" s="29"/>
      <c r="N109" s="29"/>
    </row>
    <row r="110" spans="10:14" x14ac:dyDescent="0.3">
      <c r="J110" s="29"/>
      <c r="K110" s="29"/>
      <c r="L110" s="29"/>
      <c r="M110" s="29"/>
      <c r="N110" s="29"/>
    </row>
    <row r="111" spans="10:14" x14ac:dyDescent="0.3">
      <c r="J111" s="29"/>
      <c r="K111" s="29"/>
      <c r="L111" s="29"/>
      <c r="M111" s="29"/>
      <c r="N111" s="29"/>
    </row>
    <row r="112" spans="10:14" x14ac:dyDescent="0.3">
      <c r="J112" s="29"/>
      <c r="K112" s="29"/>
      <c r="L112" s="29"/>
      <c r="M112" s="29"/>
      <c r="N112" s="29"/>
    </row>
    <row r="113" spans="10:14" x14ac:dyDescent="0.3">
      <c r="J113" s="29"/>
      <c r="K113" s="29"/>
      <c r="L113" s="29"/>
      <c r="M113" s="29"/>
      <c r="N113" s="29"/>
    </row>
    <row r="114" spans="10:14" x14ac:dyDescent="0.3">
      <c r="J114" s="29"/>
      <c r="K114" s="29"/>
      <c r="L114" s="29"/>
      <c r="M114" s="29"/>
      <c r="N114" s="29"/>
    </row>
    <row r="115" spans="10:14" x14ac:dyDescent="0.3">
      <c r="J115" s="29"/>
      <c r="K115" s="29"/>
      <c r="L115" s="29"/>
      <c r="M115" s="29"/>
      <c r="N115" s="29"/>
    </row>
    <row r="116" spans="10:14" x14ac:dyDescent="0.3">
      <c r="J116" s="29"/>
      <c r="K116" s="29"/>
      <c r="L116" s="29"/>
      <c r="M116" s="29"/>
      <c r="N116" s="29"/>
    </row>
    <row r="117" spans="10:14" x14ac:dyDescent="0.3">
      <c r="J117" s="29"/>
      <c r="K117" s="29"/>
      <c r="L117" s="29"/>
      <c r="M117" s="29"/>
      <c r="N117" s="29"/>
    </row>
    <row r="118" spans="10:14" x14ac:dyDescent="0.3">
      <c r="J118" s="29"/>
      <c r="K118" s="29"/>
      <c r="L118" s="29"/>
      <c r="M118" s="29"/>
      <c r="N118" s="29"/>
    </row>
    <row r="119" spans="10:14" x14ac:dyDescent="0.3">
      <c r="J119" s="29"/>
      <c r="K119" s="29"/>
      <c r="L119" s="29"/>
      <c r="M119" s="29"/>
      <c r="N119" s="29"/>
    </row>
    <row r="120" spans="10:14" x14ac:dyDescent="0.3">
      <c r="J120" s="29"/>
      <c r="K120" s="29"/>
      <c r="L120" s="29"/>
      <c r="M120" s="29"/>
      <c r="N120" s="29"/>
    </row>
    <row r="121" spans="10:14" x14ac:dyDescent="0.3">
      <c r="J121" s="29"/>
      <c r="K121" s="29"/>
      <c r="L121" s="29"/>
      <c r="M121" s="29"/>
      <c r="N121" s="29"/>
    </row>
    <row r="122" spans="10:14" x14ac:dyDescent="0.3">
      <c r="J122" s="29"/>
      <c r="K122" s="29"/>
      <c r="L122" s="29"/>
      <c r="M122" s="29"/>
      <c r="N122" s="29"/>
    </row>
    <row r="123" spans="10:14" x14ac:dyDescent="0.3">
      <c r="J123" s="29"/>
      <c r="K123" s="29"/>
      <c r="L123" s="29"/>
      <c r="M123" s="29"/>
      <c r="N123" s="29"/>
    </row>
    <row r="124" spans="10:14" x14ac:dyDescent="0.3">
      <c r="J124" s="29"/>
      <c r="K124" s="29"/>
      <c r="L124" s="29"/>
      <c r="M124" s="29"/>
      <c r="N124" s="29"/>
    </row>
    <row r="125" spans="10:14" x14ac:dyDescent="0.3">
      <c r="J125" s="29"/>
      <c r="K125" s="29"/>
      <c r="L125" s="29"/>
      <c r="M125" s="29"/>
      <c r="N125" s="29"/>
    </row>
    <row r="126" spans="10:14" x14ac:dyDescent="0.3">
      <c r="J126" s="29"/>
      <c r="K126" s="29"/>
      <c r="L126" s="29"/>
      <c r="M126" s="29"/>
      <c r="N126" s="29"/>
    </row>
    <row r="127" spans="10:14" x14ac:dyDescent="0.3">
      <c r="J127" s="29"/>
      <c r="K127" s="29"/>
      <c r="L127" s="29"/>
      <c r="M127" s="29"/>
      <c r="N127" s="29"/>
    </row>
    <row r="128" spans="10:14" x14ac:dyDescent="0.3">
      <c r="J128" s="29"/>
      <c r="K128" s="29"/>
      <c r="L128" s="29"/>
      <c r="M128" s="29"/>
      <c r="N128" s="29"/>
    </row>
    <row r="129" spans="10:14" x14ac:dyDescent="0.3">
      <c r="J129" s="29"/>
      <c r="K129" s="29"/>
      <c r="L129" s="29"/>
      <c r="M129" s="29"/>
      <c r="N129" s="29"/>
    </row>
    <row r="130" spans="10:14" x14ac:dyDescent="0.3">
      <c r="J130" s="29"/>
      <c r="K130" s="29"/>
      <c r="L130" s="29"/>
      <c r="M130" s="29"/>
      <c r="N130" s="29"/>
    </row>
    <row r="131" spans="10:14" x14ac:dyDescent="0.3">
      <c r="J131" s="29"/>
      <c r="K131" s="29"/>
      <c r="L131" s="29"/>
      <c r="M131" s="29"/>
      <c r="N131" s="29"/>
    </row>
    <row r="132" spans="10:14" x14ac:dyDescent="0.3">
      <c r="J132" s="29"/>
      <c r="K132" s="29"/>
      <c r="L132" s="29"/>
      <c r="M132" s="29"/>
      <c r="N132" s="29"/>
    </row>
    <row r="133" spans="10:14" x14ac:dyDescent="0.3">
      <c r="J133" s="29"/>
      <c r="K133" s="29"/>
      <c r="L133" s="29"/>
      <c r="M133" s="29"/>
      <c r="N133" s="29"/>
    </row>
    <row r="134" spans="10:14" x14ac:dyDescent="0.3">
      <c r="J134" s="29"/>
      <c r="K134" s="29"/>
      <c r="L134" s="29"/>
      <c r="M134" s="29"/>
      <c r="N134" s="29"/>
    </row>
    <row r="135" spans="10:14" x14ac:dyDescent="0.3">
      <c r="J135" s="29"/>
      <c r="K135" s="29"/>
      <c r="L135" s="29"/>
      <c r="M135" s="29"/>
      <c r="N135" s="29"/>
    </row>
    <row r="136" spans="10:14" x14ac:dyDescent="0.3">
      <c r="J136" s="29"/>
      <c r="K136" s="29"/>
      <c r="L136" s="29"/>
      <c r="M136" s="29"/>
      <c r="N136" s="29"/>
    </row>
    <row r="137" spans="10:14" x14ac:dyDescent="0.3">
      <c r="J137" s="29"/>
      <c r="K137" s="29"/>
      <c r="L137" s="29"/>
      <c r="M137" s="29"/>
      <c r="N137" s="29"/>
    </row>
    <row r="138" spans="10:14" x14ac:dyDescent="0.3">
      <c r="J138" s="29"/>
      <c r="K138" s="29"/>
      <c r="L138" s="29"/>
      <c r="M138" s="29"/>
      <c r="N138" s="29"/>
    </row>
    <row r="139" spans="10:14" x14ac:dyDescent="0.3">
      <c r="J139" s="29"/>
      <c r="K139" s="29"/>
      <c r="L139" s="29"/>
      <c r="M139" s="29"/>
      <c r="N139" s="29"/>
    </row>
    <row r="140" spans="10:14" x14ac:dyDescent="0.3">
      <c r="J140" s="29"/>
      <c r="K140" s="29"/>
      <c r="L140" s="29"/>
      <c r="M140" s="29"/>
      <c r="N140" s="29"/>
    </row>
    <row r="141" spans="10:14" x14ac:dyDescent="0.3">
      <c r="J141" s="29"/>
      <c r="K141" s="29"/>
      <c r="L141" s="29"/>
      <c r="M141" s="29"/>
      <c r="N141" s="29"/>
    </row>
    <row r="142" spans="10:14" x14ac:dyDescent="0.3">
      <c r="J142" s="29"/>
      <c r="K142" s="29"/>
      <c r="L142" s="29"/>
      <c r="M142" s="29"/>
      <c r="N142" s="29"/>
    </row>
    <row r="143" spans="10:14" x14ac:dyDescent="0.3">
      <c r="J143" s="29"/>
      <c r="K143" s="29"/>
      <c r="L143" s="29"/>
      <c r="M143" s="29"/>
      <c r="N143" s="29"/>
    </row>
    <row r="144" spans="10:14" x14ac:dyDescent="0.3">
      <c r="J144" s="29"/>
      <c r="K144" s="29"/>
      <c r="L144" s="29"/>
      <c r="M144" s="29"/>
      <c r="N144" s="29"/>
    </row>
    <row r="145" spans="10:14" x14ac:dyDescent="0.3">
      <c r="J145" s="29"/>
      <c r="K145" s="29"/>
      <c r="L145" s="29"/>
      <c r="M145" s="29"/>
      <c r="N145" s="29"/>
    </row>
    <row r="146" spans="10:14" x14ac:dyDescent="0.3">
      <c r="J146" s="29"/>
      <c r="K146" s="29"/>
      <c r="L146" s="29"/>
      <c r="M146" s="29"/>
      <c r="N146" s="29"/>
    </row>
    <row r="147" spans="10:14" x14ac:dyDescent="0.3">
      <c r="J147" s="29"/>
      <c r="K147" s="29"/>
      <c r="L147" s="29"/>
      <c r="M147" s="29"/>
      <c r="N147" s="29"/>
    </row>
    <row r="148" spans="10:14" x14ac:dyDescent="0.3">
      <c r="J148" s="29"/>
      <c r="K148" s="29"/>
      <c r="L148" s="29"/>
      <c r="M148" s="29"/>
      <c r="N148" s="29"/>
    </row>
    <row r="149" spans="10:14" x14ac:dyDescent="0.3">
      <c r="J149" s="29"/>
      <c r="K149" s="29"/>
      <c r="L149" s="29"/>
      <c r="M149" s="29"/>
      <c r="N149" s="29"/>
    </row>
    <row r="150" spans="10:14" x14ac:dyDescent="0.3">
      <c r="J150" s="29"/>
      <c r="K150" s="29"/>
      <c r="L150" s="29"/>
      <c r="M150" s="29"/>
      <c r="N150" s="29"/>
    </row>
    <row r="151" spans="10:14" x14ac:dyDescent="0.3">
      <c r="J151" s="29"/>
      <c r="K151" s="29"/>
      <c r="L151" s="29"/>
      <c r="M151" s="29"/>
      <c r="N151" s="29"/>
    </row>
    <row r="152" spans="10:14" x14ac:dyDescent="0.3">
      <c r="J152" s="29"/>
      <c r="K152" s="29"/>
      <c r="L152" s="29"/>
      <c r="M152" s="29"/>
      <c r="N152" s="29"/>
    </row>
    <row r="153" spans="10:14" x14ac:dyDescent="0.3">
      <c r="J153" s="29"/>
      <c r="K153" s="29"/>
      <c r="L153" s="29"/>
      <c r="M153" s="29"/>
      <c r="N153" s="29"/>
    </row>
    <row r="154" spans="10:14" x14ac:dyDescent="0.3">
      <c r="J154" s="29"/>
      <c r="K154" s="29"/>
      <c r="L154" s="29"/>
      <c r="M154" s="29"/>
      <c r="N154" s="29"/>
    </row>
    <row r="155" spans="10:14" x14ac:dyDescent="0.3">
      <c r="J155" s="29"/>
      <c r="K155" s="29"/>
      <c r="L155" s="29"/>
      <c r="M155" s="29"/>
      <c r="N155" s="29"/>
    </row>
    <row r="156" spans="10:14" x14ac:dyDescent="0.3">
      <c r="J156" s="29"/>
      <c r="K156" s="29"/>
      <c r="L156" s="29"/>
      <c r="M156" s="29"/>
      <c r="N156" s="29"/>
    </row>
    <row r="157" spans="10:14" x14ac:dyDescent="0.3">
      <c r="J157" s="29"/>
      <c r="K157" s="29"/>
      <c r="L157" s="29"/>
      <c r="M157" s="29"/>
      <c r="N157" s="29"/>
    </row>
    <row r="158" spans="10:14" x14ac:dyDescent="0.3">
      <c r="J158" s="29"/>
      <c r="K158" s="29"/>
      <c r="L158" s="29"/>
      <c r="M158" s="29"/>
      <c r="N158" s="29"/>
    </row>
    <row r="159" spans="10:14" x14ac:dyDescent="0.3">
      <c r="J159" s="29"/>
      <c r="K159" s="29"/>
      <c r="L159" s="29"/>
      <c r="M159" s="29"/>
      <c r="N159" s="29"/>
    </row>
    <row r="160" spans="10:14" x14ac:dyDescent="0.3">
      <c r="J160" s="29"/>
      <c r="K160" s="29"/>
      <c r="L160" s="29"/>
      <c r="M160" s="29"/>
      <c r="N160" s="29"/>
    </row>
    <row r="161" spans="10:14" x14ac:dyDescent="0.3">
      <c r="J161" s="29"/>
      <c r="K161" s="29"/>
      <c r="L161" s="29"/>
      <c r="M161" s="29"/>
      <c r="N161" s="29"/>
    </row>
    <row r="162" spans="10:14" x14ac:dyDescent="0.3">
      <c r="J162" s="29"/>
      <c r="K162" s="29"/>
      <c r="L162" s="29"/>
      <c r="M162" s="29"/>
      <c r="N162" s="29"/>
    </row>
    <row r="163" spans="10:14" x14ac:dyDescent="0.3">
      <c r="J163" s="29"/>
      <c r="K163" s="29"/>
      <c r="L163" s="29"/>
      <c r="M163" s="29"/>
      <c r="N163" s="29"/>
    </row>
    <row r="164" spans="10:14" x14ac:dyDescent="0.3">
      <c r="J164" s="29"/>
      <c r="K164" s="29"/>
      <c r="L164" s="29"/>
      <c r="M164" s="29"/>
      <c r="N164" s="29"/>
    </row>
    <row r="165" spans="10:14" x14ac:dyDescent="0.3">
      <c r="J165" s="29"/>
      <c r="K165" s="29"/>
      <c r="L165" s="29"/>
      <c r="M165" s="29"/>
      <c r="N165" s="29"/>
    </row>
    <row r="166" spans="10:14" x14ac:dyDescent="0.3">
      <c r="J166" s="29"/>
      <c r="K166" s="29"/>
      <c r="L166" s="29"/>
      <c r="M166" s="29"/>
      <c r="N166" s="29"/>
    </row>
    <row r="167" spans="10:14" x14ac:dyDescent="0.3">
      <c r="J167" s="29"/>
      <c r="K167" s="29"/>
      <c r="L167" s="29"/>
      <c r="M167" s="29"/>
      <c r="N167" s="29"/>
    </row>
    <row r="168" spans="10:14" x14ac:dyDescent="0.3">
      <c r="J168" s="29"/>
      <c r="K168" s="29"/>
      <c r="L168" s="29"/>
      <c r="M168" s="29"/>
      <c r="N168" s="29"/>
    </row>
    <row r="169" spans="10:14" x14ac:dyDescent="0.3">
      <c r="J169" s="29"/>
      <c r="K169" s="29"/>
      <c r="L169" s="29"/>
      <c r="M169" s="29"/>
      <c r="N169" s="29"/>
    </row>
    <row r="170" spans="10:14" x14ac:dyDescent="0.3">
      <c r="J170" s="29"/>
      <c r="K170" s="29"/>
      <c r="L170" s="29"/>
      <c r="M170" s="29"/>
      <c r="N170" s="29"/>
    </row>
    <row r="171" spans="10:14" x14ac:dyDescent="0.3">
      <c r="J171" s="29"/>
      <c r="K171" s="29"/>
      <c r="L171" s="29"/>
      <c r="M171" s="29"/>
      <c r="N171" s="29"/>
    </row>
    <row r="172" spans="10:14" x14ac:dyDescent="0.3">
      <c r="J172" s="29"/>
      <c r="K172" s="29"/>
      <c r="L172" s="29"/>
      <c r="M172" s="29"/>
      <c r="N172" s="29"/>
    </row>
    <row r="173" spans="10:14" x14ac:dyDescent="0.3">
      <c r="J173" s="29"/>
      <c r="K173" s="29"/>
      <c r="L173" s="29"/>
      <c r="M173" s="29"/>
      <c r="N173" s="29"/>
    </row>
    <row r="174" spans="10:14" x14ac:dyDescent="0.3">
      <c r="J174" s="29"/>
      <c r="K174" s="29"/>
      <c r="L174" s="29"/>
      <c r="M174" s="29"/>
      <c r="N174" s="29"/>
    </row>
    <row r="175" spans="10:14" x14ac:dyDescent="0.3">
      <c r="J175" s="29"/>
      <c r="K175" s="29"/>
      <c r="L175" s="29"/>
      <c r="M175" s="29"/>
      <c r="N175" s="29"/>
    </row>
    <row r="176" spans="10:14" x14ac:dyDescent="0.3">
      <c r="J176" s="29"/>
      <c r="K176" s="29"/>
      <c r="L176" s="29"/>
      <c r="M176" s="29"/>
      <c r="N176" s="29"/>
    </row>
    <row r="177" spans="10:14" x14ac:dyDescent="0.3">
      <c r="J177" s="29"/>
      <c r="K177" s="29"/>
      <c r="L177" s="29"/>
      <c r="M177" s="29"/>
      <c r="N177" s="29"/>
    </row>
    <row r="178" spans="10:14" x14ac:dyDescent="0.3">
      <c r="J178" s="29"/>
      <c r="K178" s="29"/>
      <c r="L178" s="29"/>
      <c r="M178" s="29"/>
      <c r="N178" s="29"/>
    </row>
    <row r="179" spans="10:14" x14ac:dyDescent="0.3">
      <c r="J179" s="29"/>
      <c r="K179" s="29"/>
      <c r="L179" s="29"/>
      <c r="M179" s="29"/>
      <c r="N179" s="29"/>
    </row>
    <row r="180" spans="10:14" x14ac:dyDescent="0.3">
      <c r="J180" s="29"/>
      <c r="K180" s="29"/>
      <c r="L180" s="29"/>
      <c r="M180" s="29"/>
      <c r="N180" s="29"/>
    </row>
    <row r="181" spans="10:14" x14ac:dyDescent="0.3">
      <c r="J181" s="29"/>
      <c r="K181" s="29"/>
      <c r="L181" s="29"/>
      <c r="M181" s="29"/>
      <c r="N181" s="29"/>
    </row>
    <row r="182" spans="10:14" x14ac:dyDescent="0.3">
      <c r="J182" s="29"/>
      <c r="K182" s="29"/>
      <c r="L182" s="29"/>
      <c r="M182" s="29"/>
      <c r="N182" s="29"/>
    </row>
    <row r="183" spans="10:14" x14ac:dyDescent="0.3">
      <c r="J183" s="29"/>
      <c r="K183" s="29"/>
      <c r="L183" s="29"/>
      <c r="M183" s="29"/>
      <c r="N183" s="29"/>
    </row>
    <row r="184" spans="10:14" x14ac:dyDescent="0.3">
      <c r="J184" s="29"/>
      <c r="K184" s="29"/>
      <c r="L184" s="29"/>
      <c r="M184" s="29"/>
      <c r="N184" s="29"/>
    </row>
    <row r="185" spans="10:14" x14ac:dyDescent="0.3">
      <c r="J185" s="29"/>
      <c r="K185" s="29"/>
      <c r="L185" s="29"/>
      <c r="M185" s="29"/>
      <c r="N185" s="29"/>
    </row>
    <row r="186" spans="10:14" x14ac:dyDescent="0.3">
      <c r="J186" s="29"/>
      <c r="K186" s="29"/>
      <c r="L186" s="29"/>
      <c r="M186" s="29"/>
      <c r="N186" s="29"/>
    </row>
    <row r="187" spans="10:14" x14ac:dyDescent="0.3">
      <c r="J187" s="29"/>
      <c r="K187" s="29"/>
      <c r="L187" s="29"/>
      <c r="M187" s="29"/>
      <c r="N187" s="29"/>
    </row>
    <row r="188" spans="10:14" x14ac:dyDescent="0.3">
      <c r="J188" s="29"/>
      <c r="K188" s="29"/>
      <c r="L188" s="29"/>
      <c r="M188" s="29"/>
      <c r="N188" s="29"/>
    </row>
    <row r="189" spans="10:14" x14ac:dyDescent="0.3">
      <c r="J189" s="29"/>
      <c r="K189" s="29"/>
      <c r="L189" s="29"/>
      <c r="M189" s="29"/>
      <c r="N189" s="29"/>
    </row>
    <row r="190" spans="10:14" x14ac:dyDescent="0.3">
      <c r="J190" s="29"/>
      <c r="K190" s="29"/>
      <c r="L190" s="29"/>
      <c r="M190" s="29"/>
      <c r="N190" s="29"/>
    </row>
    <row r="191" spans="10:14" x14ac:dyDescent="0.3">
      <c r="J191" s="29"/>
      <c r="K191" s="29"/>
      <c r="L191" s="29"/>
      <c r="M191" s="29"/>
      <c r="N191" s="29"/>
    </row>
    <row r="192" spans="10:14" x14ac:dyDescent="0.3">
      <c r="J192" s="29"/>
      <c r="K192" s="29"/>
      <c r="L192" s="29"/>
      <c r="M192" s="29"/>
      <c r="N192" s="29"/>
    </row>
    <row r="193" spans="10:14" x14ac:dyDescent="0.3">
      <c r="J193" s="29"/>
      <c r="K193" s="29"/>
      <c r="L193" s="29"/>
      <c r="M193" s="29"/>
      <c r="N193" s="29"/>
    </row>
    <row r="194" spans="10:14" x14ac:dyDescent="0.3">
      <c r="J194" s="29"/>
      <c r="K194" s="29"/>
      <c r="L194" s="29"/>
      <c r="M194" s="29"/>
      <c r="N194" s="29"/>
    </row>
    <row r="195" spans="10:14" x14ac:dyDescent="0.3">
      <c r="J195" s="29"/>
      <c r="K195" s="29"/>
      <c r="L195" s="29"/>
      <c r="M195" s="29"/>
      <c r="N195" s="29"/>
    </row>
    <row r="196" spans="10:14" x14ac:dyDescent="0.3">
      <c r="J196" s="29"/>
      <c r="K196" s="29"/>
      <c r="L196" s="29"/>
      <c r="M196" s="29"/>
      <c r="N196" s="29"/>
    </row>
    <row r="197" spans="10:14" x14ac:dyDescent="0.3">
      <c r="J197" s="29"/>
      <c r="K197" s="29"/>
      <c r="L197" s="29"/>
      <c r="M197" s="29"/>
      <c r="N197" s="29"/>
    </row>
    <row r="198" spans="10:14" x14ac:dyDescent="0.3">
      <c r="J198" s="29"/>
      <c r="K198" s="29"/>
      <c r="L198" s="29"/>
      <c r="M198" s="29"/>
      <c r="N198" s="29"/>
    </row>
    <row r="199" spans="10:14" x14ac:dyDescent="0.3">
      <c r="J199" s="29"/>
      <c r="K199" s="29"/>
      <c r="L199" s="29"/>
      <c r="M199" s="29"/>
      <c r="N199" s="29"/>
    </row>
    <row r="200" spans="10:14" x14ac:dyDescent="0.3">
      <c r="J200" s="29"/>
      <c r="K200" s="29"/>
      <c r="L200" s="29"/>
      <c r="M200" s="29"/>
      <c r="N200" s="29"/>
    </row>
    <row r="201" spans="10:14" x14ac:dyDescent="0.3">
      <c r="J201" s="29"/>
      <c r="K201" s="29"/>
      <c r="L201" s="29"/>
      <c r="M201" s="29"/>
      <c r="N201" s="29"/>
    </row>
    <row r="202" spans="10:14" x14ac:dyDescent="0.3">
      <c r="J202" s="29"/>
      <c r="K202" s="29"/>
      <c r="L202" s="29"/>
      <c r="M202" s="29"/>
      <c r="N202" s="29"/>
    </row>
    <row r="203" spans="10:14" x14ac:dyDescent="0.3">
      <c r="J203" s="29"/>
      <c r="K203" s="29"/>
      <c r="L203" s="29"/>
      <c r="M203" s="29"/>
      <c r="N203" s="29"/>
    </row>
    <row r="204" spans="10:14" x14ac:dyDescent="0.3">
      <c r="J204" s="29"/>
      <c r="K204" s="29"/>
      <c r="L204" s="29"/>
      <c r="M204" s="29"/>
      <c r="N204" s="29"/>
    </row>
    <row r="205" spans="10:14" x14ac:dyDescent="0.3">
      <c r="J205" s="29"/>
      <c r="K205" s="29"/>
      <c r="L205" s="29"/>
      <c r="M205" s="29"/>
      <c r="N205" s="29"/>
    </row>
    <row r="206" spans="10:14" x14ac:dyDescent="0.3">
      <c r="J206" s="29"/>
      <c r="K206" s="29"/>
      <c r="L206" s="29"/>
      <c r="M206" s="29"/>
      <c r="N206" s="29"/>
    </row>
    <row r="207" spans="10:14" x14ac:dyDescent="0.3">
      <c r="J207" s="29"/>
      <c r="K207" s="29"/>
      <c r="L207" s="29"/>
      <c r="M207" s="29"/>
      <c r="N207" s="29"/>
    </row>
    <row r="208" spans="10:14" x14ac:dyDescent="0.3">
      <c r="J208" s="29"/>
      <c r="K208" s="29"/>
      <c r="L208" s="29"/>
      <c r="M208" s="29"/>
      <c r="N208" s="29"/>
    </row>
    <row r="209" spans="10:14" x14ac:dyDescent="0.3">
      <c r="J209" s="29"/>
      <c r="K209" s="29"/>
      <c r="L209" s="29"/>
      <c r="M209" s="29"/>
      <c r="N209" s="29"/>
    </row>
    <row r="210" spans="10:14" x14ac:dyDescent="0.3">
      <c r="J210" s="29"/>
      <c r="K210" s="29"/>
      <c r="L210" s="29"/>
      <c r="M210" s="29"/>
      <c r="N210" s="29"/>
    </row>
    <row r="211" spans="10:14" x14ac:dyDescent="0.3">
      <c r="J211" s="29"/>
      <c r="K211" s="29"/>
      <c r="L211" s="29"/>
      <c r="M211" s="29"/>
      <c r="N211" s="29"/>
    </row>
    <row r="212" spans="10:14" x14ac:dyDescent="0.3">
      <c r="J212" s="29"/>
      <c r="K212" s="29"/>
      <c r="L212" s="29"/>
      <c r="M212" s="29"/>
      <c r="N212" s="29"/>
    </row>
    <row r="213" spans="10:14" x14ac:dyDescent="0.3">
      <c r="J213" s="29"/>
      <c r="K213" s="29"/>
      <c r="L213" s="29"/>
      <c r="M213" s="29"/>
      <c r="N213" s="29"/>
    </row>
    <row r="214" spans="10:14" x14ac:dyDescent="0.3">
      <c r="J214" s="29"/>
      <c r="K214" s="29"/>
      <c r="L214" s="29"/>
      <c r="M214" s="29"/>
      <c r="N214" s="29"/>
    </row>
    <row r="215" spans="10:14" x14ac:dyDescent="0.3">
      <c r="J215" s="29"/>
      <c r="K215" s="29"/>
      <c r="L215" s="29"/>
      <c r="M215" s="29"/>
      <c r="N215" s="29"/>
    </row>
    <row r="216" spans="10:14" x14ac:dyDescent="0.3">
      <c r="J216" s="29"/>
      <c r="K216" s="29"/>
      <c r="L216" s="29"/>
      <c r="M216" s="29"/>
      <c r="N216" s="29"/>
    </row>
    <row r="217" spans="10:14" x14ac:dyDescent="0.3">
      <c r="J217" s="29"/>
      <c r="K217" s="29"/>
      <c r="L217" s="29"/>
      <c r="M217" s="29"/>
      <c r="N217" s="29"/>
    </row>
    <row r="218" spans="10:14" x14ac:dyDescent="0.3">
      <c r="J218" s="29"/>
      <c r="K218" s="29"/>
      <c r="L218" s="29"/>
      <c r="M218" s="29"/>
      <c r="N218" s="29"/>
    </row>
    <row r="219" spans="10:14" x14ac:dyDescent="0.3">
      <c r="J219" s="29"/>
      <c r="K219" s="29"/>
      <c r="L219" s="29"/>
      <c r="M219" s="29"/>
      <c r="N219" s="29"/>
    </row>
    <row r="220" spans="10:14" x14ac:dyDescent="0.3">
      <c r="J220" s="29"/>
      <c r="K220" s="29"/>
      <c r="L220" s="29"/>
      <c r="M220" s="29"/>
      <c r="N220" s="29"/>
    </row>
    <row r="221" spans="10:14" x14ac:dyDescent="0.3">
      <c r="J221" s="29"/>
      <c r="K221" s="29"/>
      <c r="L221" s="29"/>
      <c r="M221" s="29"/>
      <c r="N221" s="29"/>
    </row>
    <row r="222" spans="10:14" x14ac:dyDescent="0.3">
      <c r="J222" s="29"/>
      <c r="K222" s="29"/>
      <c r="L222" s="29"/>
      <c r="M222" s="29"/>
      <c r="N222" s="29"/>
    </row>
    <row r="223" spans="10:14" x14ac:dyDescent="0.3">
      <c r="J223" s="29"/>
      <c r="K223" s="29"/>
      <c r="L223" s="29"/>
      <c r="M223" s="29"/>
      <c r="N223" s="29"/>
    </row>
    <row r="224" spans="10:14" x14ac:dyDescent="0.3">
      <c r="J224" s="29"/>
      <c r="K224" s="29"/>
      <c r="L224" s="29"/>
      <c r="M224" s="29"/>
      <c r="N224" s="29"/>
    </row>
    <row r="225" spans="10:14" x14ac:dyDescent="0.3">
      <c r="J225" s="29"/>
      <c r="K225" s="29"/>
      <c r="L225" s="29"/>
      <c r="M225" s="29"/>
      <c r="N225" s="29"/>
    </row>
    <row r="226" spans="10:14" x14ac:dyDescent="0.3">
      <c r="J226" s="29"/>
      <c r="K226" s="29"/>
      <c r="L226" s="29"/>
      <c r="M226" s="29"/>
      <c r="N226" s="29"/>
    </row>
    <row r="227" spans="10:14" x14ac:dyDescent="0.3">
      <c r="J227" s="29"/>
      <c r="K227" s="29"/>
      <c r="L227" s="29"/>
      <c r="M227" s="29"/>
      <c r="N227" s="29"/>
    </row>
    <row r="228" spans="10:14" x14ac:dyDescent="0.3">
      <c r="J228" s="29"/>
      <c r="K228" s="29"/>
      <c r="L228" s="29"/>
      <c r="M228" s="29"/>
      <c r="N228" s="29"/>
    </row>
    <row r="229" spans="10:14" x14ac:dyDescent="0.3">
      <c r="J229" s="29"/>
      <c r="K229" s="29"/>
      <c r="L229" s="29"/>
      <c r="M229" s="29"/>
      <c r="N229" s="29"/>
    </row>
    <row r="230" spans="10:14" x14ac:dyDescent="0.3">
      <c r="J230" s="29"/>
      <c r="K230" s="29"/>
      <c r="L230" s="29"/>
      <c r="M230" s="29"/>
      <c r="N230" s="29"/>
    </row>
    <row r="231" spans="10:14" x14ac:dyDescent="0.3">
      <c r="J231" s="29"/>
      <c r="K231" s="29"/>
      <c r="L231" s="29"/>
      <c r="M231" s="29"/>
      <c r="N231" s="29"/>
    </row>
    <row r="232" spans="10:14" x14ac:dyDescent="0.3">
      <c r="J232" s="29"/>
      <c r="K232" s="29"/>
      <c r="L232" s="29"/>
      <c r="M232" s="29"/>
      <c r="N232" s="29"/>
    </row>
    <row r="233" spans="10:14" x14ac:dyDescent="0.3">
      <c r="J233" s="29"/>
      <c r="K233" s="29"/>
      <c r="L233" s="29"/>
      <c r="M233" s="29"/>
      <c r="N233" s="29"/>
    </row>
    <row r="234" spans="10:14" x14ac:dyDescent="0.3">
      <c r="J234" s="29"/>
      <c r="K234" s="29"/>
      <c r="L234" s="29"/>
      <c r="M234" s="29"/>
      <c r="N234" s="29"/>
    </row>
    <row r="235" spans="10:14" x14ac:dyDescent="0.3">
      <c r="J235" s="29"/>
      <c r="K235" s="29"/>
      <c r="L235" s="29"/>
      <c r="M235" s="29"/>
      <c r="N235" s="29"/>
    </row>
    <row r="236" spans="10:14" x14ac:dyDescent="0.3">
      <c r="J236" s="29"/>
      <c r="K236" s="29"/>
      <c r="L236" s="29"/>
      <c r="M236" s="29"/>
      <c r="N236" s="29"/>
    </row>
    <row r="237" spans="10:14" x14ac:dyDescent="0.3">
      <c r="J237" s="29"/>
      <c r="K237" s="29"/>
      <c r="L237" s="29"/>
      <c r="M237" s="29"/>
      <c r="N237" s="29"/>
    </row>
    <row r="238" spans="10:14" x14ac:dyDescent="0.3">
      <c r="J238" s="29"/>
      <c r="K238" s="29"/>
      <c r="L238" s="29"/>
      <c r="M238" s="29"/>
      <c r="N238" s="29"/>
    </row>
    <row r="239" spans="10:14" x14ac:dyDescent="0.3">
      <c r="J239" s="29"/>
      <c r="K239" s="29"/>
      <c r="L239" s="29"/>
      <c r="M239" s="29"/>
      <c r="N239" s="29"/>
    </row>
    <row r="240" spans="10:14" x14ac:dyDescent="0.3">
      <c r="J240" s="29"/>
      <c r="K240" s="29"/>
      <c r="L240" s="29"/>
      <c r="M240" s="29"/>
      <c r="N240" s="29"/>
    </row>
    <row r="241" spans="10:14" x14ac:dyDescent="0.3">
      <c r="J241" s="29"/>
      <c r="K241" s="29"/>
      <c r="L241" s="29"/>
      <c r="M241" s="29"/>
      <c r="N241" s="29"/>
    </row>
    <row r="242" spans="10:14" x14ac:dyDescent="0.3">
      <c r="J242" s="29"/>
      <c r="K242" s="29"/>
      <c r="L242" s="29"/>
      <c r="M242" s="29"/>
      <c r="N242" s="29"/>
    </row>
    <row r="243" spans="10:14" x14ac:dyDescent="0.3">
      <c r="J243" s="29"/>
      <c r="K243" s="29"/>
      <c r="L243" s="29"/>
      <c r="M243" s="29"/>
      <c r="N243" s="29"/>
    </row>
    <row r="244" spans="10:14" x14ac:dyDescent="0.3">
      <c r="J244" s="29"/>
      <c r="K244" s="29"/>
      <c r="L244" s="29"/>
      <c r="M244" s="29"/>
      <c r="N244" s="29"/>
    </row>
    <row r="245" spans="10:14" x14ac:dyDescent="0.3">
      <c r="J245" s="29"/>
      <c r="K245" s="29"/>
      <c r="L245" s="29"/>
      <c r="M245" s="29"/>
      <c r="N245" s="29"/>
    </row>
    <row r="246" spans="10:14" x14ac:dyDescent="0.3">
      <c r="J246" s="29"/>
      <c r="K246" s="29"/>
      <c r="L246" s="29"/>
      <c r="M246" s="29"/>
      <c r="N246" s="29"/>
    </row>
    <row r="247" spans="10:14" x14ac:dyDescent="0.3">
      <c r="J247" s="29"/>
      <c r="K247" s="29"/>
      <c r="L247" s="29"/>
      <c r="M247" s="29"/>
      <c r="N247" s="29"/>
    </row>
    <row r="248" spans="10:14" x14ac:dyDescent="0.3">
      <c r="J248" s="29"/>
      <c r="K248" s="29"/>
      <c r="L248" s="29"/>
      <c r="M248" s="29"/>
      <c r="N248" s="29"/>
    </row>
    <row r="249" spans="10:14" x14ac:dyDescent="0.3">
      <c r="J249" s="29"/>
      <c r="K249" s="29"/>
      <c r="L249" s="29"/>
      <c r="M249" s="29"/>
      <c r="N249" s="29"/>
    </row>
    <row r="250" spans="10:14" x14ac:dyDescent="0.3">
      <c r="J250" s="29"/>
      <c r="K250" s="29"/>
      <c r="L250" s="29"/>
      <c r="M250" s="29"/>
      <c r="N250" s="29"/>
    </row>
    <row r="251" spans="10:14" x14ac:dyDescent="0.3">
      <c r="J251" s="29"/>
      <c r="K251" s="29"/>
      <c r="L251" s="29"/>
      <c r="M251" s="29"/>
      <c r="N251" s="29"/>
    </row>
    <row r="252" spans="10:14" x14ac:dyDescent="0.3">
      <c r="J252" s="29"/>
      <c r="K252" s="29"/>
      <c r="L252" s="29"/>
      <c r="M252" s="29"/>
      <c r="N252" s="29"/>
    </row>
    <row r="253" spans="10:14" x14ac:dyDescent="0.3">
      <c r="J253" s="29"/>
      <c r="K253" s="29"/>
      <c r="L253" s="29"/>
      <c r="M253" s="29"/>
      <c r="N253" s="29"/>
    </row>
    <row r="254" spans="10:14" x14ac:dyDescent="0.3">
      <c r="J254" s="29"/>
      <c r="K254" s="29"/>
      <c r="L254" s="29"/>
      <c r="M254" s="29"/>
      <c r="N254" s="29"/>
    </row>
    <row r="255" spans="10:14" x14ac:dyDescent="0.3">
      <c r="J255" s="29"/>
      <c r="K255" s="29"/>
      <c r="L255" s="29"/>
      <c r="M255" s="29"/>
      <c r="N255" s="29"/>
    </row>
    <row r="256" spans="10:14" x14ac:dyDescent="0.3">
      <c r="J256" s="29"/>
      <c r="K256" s="29"/>
      <c r="L256" s="29"/>
      <c r="M256" s="29"/>
      <c r="N256" s="29"/>
    </row>
    <row r="257" spans="10:14" x14ac:dyDescent="0.3">
      <c r="J257" s="29"/>
      <c r="K257" s="29"/>
      <c r="L257" s="29"/>
      <c r="M257" s="29"/>
      <c r="N257" s="29"/>
    </row>
    <row r="258" spans="10:14" x14ac:dyDescent="0.3">
      <c r="J258" s="29"/>
      <c r="K258" s="29"/>
      <c r="L258" s="29"/>
      <c r="M258" s="29"/>
      <c r="N258" s="29"/>
    </row>
  </sheetData>
  <mergeCells count="22">
    <mergeCell ref="AC3:AF3"/>
    <mergeCell ref="AH3:AJ3"/>
    <mergeCell ref="AC13:AF13"/>
    <mergeCell ref="AH13:AJ13"/>
    <mergeCell ref="AC24:AF24"/>
    <mergeCell ref="AH24:AJ24"/>
    <mergeCell ref="A54:D54"/>
    <mergeCell ref="A71:D71"/>
    <mergeCell ref="U1:Z1"/>
    <mergeCell ref="O3:O4"/>
    <mergeCell ref="D17:G17"/>
    <mergeCell ref="D8:G8"/>
    <mergeCell ref="J2:N2"/>
    <mergeCell ref="D2:G2"/>
    <mergeCell ref="D5:G5"/>
    <mergeCell ref="D11:G11"/>
    <mergeCell ref="D14:G14"/>
    <mergeCell ref="L3:L4"/>
    <mergeCell ref="M3:M4"/>
    <mergeCell ref="N3:N4"/>
    <mergeCell ref="K3:K4"/>
    <mergeCell ref="J3:J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E260"/>
  <sheetViews>
    <sheetView showGridLines="0" zoomScaleNormal="100" workbookViewId="0">
      <selection activeCell="J18" sqref="J18"/>
    </sheetView>
  </sheetViews>
  <sheetFormatPr defaultColWidth="9.21875" defaultRowHeight="14.4" x14ac:dyDescent="0.3"/>
  <cols>
    <col min="1" max="1" width="18.21875" style="58" customWidth="1"/>
    <col min="2" max="2" width="16.21875" style="58" bestFit="1" customWidth="1"/>
    <col min="3" max="3" width="12.21875" style="58" bestFit="1" customWidth="1"/>
    <col min="4" max="4" width="14.88671875" style="58" bestFit="1" customWidth="1"/>
    <col min="5" max="9" width="9.21875" style="58" customWidth="1"/>
    <col min="10" max="10" width="11.6640625" style="58" bestFit="1" customWidth="1"/>
    <col min="11" max="12" width="9.21875" style="58" customWidth="1"/>
    <col min="13" max="13" width="10.77734375" style="58" bestFit="1" customWidth="1"/>
    <col min="14" max="14" width="41.88671875" style="58" bestFit="1" customWidth="1"/>
    <col min="15" max="15" width="9.21875" style="58" customWidth="1"/>
    <col min="16" max="16" width="23.21875" style="58" customWidth="1"/>
    <col min="17" max="17" width="9.21875" style="58" customWidth="1"/>
    <col min="18" max="18" width="19.77734375" style="58" customWidth="1"/>
    <col min="19" max="19" width="9.21875" style="58" customWidth="1"/>
    <col min="20" max="20" width="13.21875" style="58" customWidth="1"/>
    <col min="21" max="21" width="9.21875" style="58"/>
    <col min="22" max="22" width="14.21875" style="58" bestFit="1" customWidth="1"/>
    <col min="23" max="23" width="9.21875" style="58"/>
    <col min="24" max="24" width="5.44140625" style="58" customWidth="1"/>
    <col min="25" max="25" width="27.44140625" style="58" bestFit="1" customWidth="1"/>
    <col min="26" max="26" width="9.21875" style="58"/>
    <col min="27" max="27" width="15.77734375" style="58" customWidth="1"/>
    <col min="28" max="30" width="9.21875" style="58"/>
    <col min="31" max="31" width="17.77734375" style="58" bestFit="1" customWidth="1"/>
    <col min="32" max="32" width="4.109375" style="58" customWidth="1"/>
    <col min="33" max="16384" width="9.21875" style="58"/>
  </cols>
  <sheetData>
    <row r="1" spans="1:31" ht="15" thickBot="1" x14ac:dyDescent="0.35">
      <c r="A1" s="371" t="s">
        <v>683</v>
      </c>
      <c r="B1" s="372"/>
      <c r="C1" s="372"/>
      <c r="D1" s="372"/>
      <c r="E1" s="373"/>
      <c r="F1" s="127"/>
      <c r="G1" s="127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1:31" ht="16.2" thickBot="1" x14ac:dyDescent="0.35">
      <c r="A2" s="123" t="s">
        <v>683</v>
      </c>
      <c r="B2" s="124" t="s">
        <v>678</v>
      </c>
      <c r="C2" s="124" t="s">
        <v>678</v>
      </c>
      <c r="D2" s="124" t="s">
        <v>678</v>
      </c>
      <c r="E2" s="125" t="s">
        <v>678</v>
      </c>
      <c r="F2" s="128"/>
      <c r="G2" s="128"/>
      <c r="I2" s="96" t="s">
        <v>681</v>
      </c>
      <c r="J2" s="97"/>
      <c r="K2" s="98" t="s">
        <v>680</v>
      </c>
      <c r="L2" s="95"/>
      <c r="M2" s="99" t="s">
        <v>684</v>
      </c>
      <c r="N2" s="100"/>
      <c r="O2" s="100"/>
      <c r="P2" s="100"/>
      <c r="Q2" s="100"/>
      <c r="R2" s="100"/>
      <c r="S2" s="101"/>
      <c r="T2" s="98" t="s">
        <v>707</v>
      </c>
      <c r="U2" s="102"/>
      <c r="V2" s="98" t="s">
        <v>9</v>
      </c>
      <c r="W2" s="102"/>
      <c r="X2" s="98" t="s">
        <v>797</v>
      </c>
      <c r="Y2" s="102"/>
      <c r="Z2" s="102"/>
      <c r="AA2" s="98" t="s">
        <v>1388</v>
      </c>
      <c r="AB2" s="102"/>
    </row>
    <row r="3" spans="1:31" ht="27.6" x14ac:dyDescent="0.3">
      <c r="A3" s="120"/>
      <c r="B3" s="121" t="s">
        <v>693</v>
      </c>
      <c r="C3" s="121" t="s">
        <v>673</v>
      </c>
      <c r="D3" s="121" t="s">
        <v>1266</v>
      </c>
      <c r="E3" s="122" t="s">
        <v>669</v>
      </c>
      <c r="F3" s="122" t="s">
        <v>1267</v>
      </c>
      <c r="G3" s="122"/>
      <c r="H3" s="119" t="s">
        <v>686</v>
      </c>
      <c r="I3" s="73"/>
      <c r="J3" s="74"/>
      <c r="K3" s="71"/>
      <c r="L3" s="72"/>
      <c r="M3" s="75"/>
      <c r="N3" s="76"/>
      <c r="O3" s="76"/>
      <c r="P3" s="76"/>
      <c r="Q3" s="76"/>
      <c r="R3" s="76"/>
      <c r="S3" s="77"/>
      <c r="T3" s="71"/>
      <c r="U3" s="104"/>
      <c r="V3" s="71"/>
      <c r="W3" s="104"/>
      <c r="X3" s="71"/>
      <c r="Y3" s="104"/>
      <c r="Z3" s="104"/>
      <c r="AA3" s="71" t="s">
        <v>1389</v>
      </c>
      <c r="AB3" s="104"/>
    </row>
    <row r="4" spans="1:31" ht="16.95" customHeight="1" x14ac:dyDescent="0.3">
      <c r="A4" s="58" t="s">
        <v>673</v>
      </c>
      <c r="B4" s="25" t="s">
        <v>699</v>
      </c>
      <c r="C4" s="25" t="s">
        <v>700</v>
      </c>
      <c r="D4" s="25" t="s">
        <v>701</v>
      </c>
      <c r="E4" s="94" t="s">
        <v>669</v>
      </c>
      <c r="F4" s="94" t="s">
        <v>702</v>
      </c>
      <c r="G4" s="94"/>
      <c r="I4" s="131" t="s">
        <v>1269</v>
      </c>
      <c r="J4" s="130" t="s">
        <v>1268</v>
      </c>
      <c r="K4" s="84" t="s">
        <v>680</v>
      </c>
      <c r="L4" s="85" t="s">
        <v>685</v>
      </c>
      <c r="M4" s="84" t="s">
        <v>684</v>
      </c>
      <c r="N4" s="86" t="s">
        <v>687</v>
      </c>
      <c r="O4" s="86" t="s">
        <v>688</v>
      </c>
      <c r="P4" s="86" t="s">
        <v>689</v>
      </c>
      <c r="Q4" s="86" t="s">
        <v>690</v>
      </c>
      <c r="R4" s="86" t="s">
        <v>691</v>
      </c>
      <c r="S4" s="85" t="s">
        <v>692</v>
      </c>
      <c r="T4" s="84" t="s">
        <v>803</v>
      </c>
      <c r="U4" s="105" t="s">
        <v>685</v>
      </c>
      <c r="V4" s="84" t="s">
        <v>803</v>
      </c>
      <c r="W4" s="105" t="s">
        <v>685</v>
      </c>
      <c r="X4" s="84" t="s">
        <v>1386</v>
      </c>
      <c r="Y4" s="139" t="s">
        <v>958</v>
      </c>
      <c r="Z4" s="105" t="s">
        <v>685</v>
      </c>
      <c r="AA4" s="84" t="s">
        <v>1390</v>
      </c>
      <c r="AB4" s="105" t="s">
        <v>685</v>
      </c>
    </row>
    <row r="5" spans="1:31" x14ac:dyDescent="0.3">
      <c r="A5" s="103" t="s">
        <v>693</v>
      </c>
      <c r="B5" s="25" t="s">
        <v>709</v>
      </c>
      <c r="C5" s="25" t="s">
        <v>710</v>
      </c>
      <c r="D5" s="25" t="s">
        <v>711</v>
      </c>
      <c r="E5" s="94"/>
      <c r="F5" s="25" t="s">
        <v>712</v>
      </c>
      <c r="G5" s="25"/>
      <c r="H5" s="87"/>
      <c r="I5" s="84"/>
      <c r="J5" s="85"/>
      <c r="K5" s="84"/>
      <c r="L5" s="85"/>
      <c r="M5" s="84"/>
      <c r="N5" s="86"/>
      <c r="O5" s="86"/>
      <c r="P5" s="86"/>
      <c r="Q5" s="86"/>
      <c r="R5" s="86"/>
      <c r="S5" s="85"/>
      <c r="T5" s="84"/>
      <c r="U5" s="105"/>
      <c r="V5" s="84"/>
      <c r="W5" s="105"/>
      <c r="X5" s="84"/>
      <c r="Y5" s="105"/>
      <c r="Z5" s="105"/>
      <c r="AA5" s="84"/>
      <c r="AB5" s="105"/>
    </row>
    <row r="6" spans="1:31" x14ac:dyDescent="0.3">
      <c r="A6" s="103" t="s">
        <v>1266</v>
      </c>
      <c r="B6" s="25" t="s">
        <v>718</v>
      </c>
      <c r="C6" s="25" t="s">
        <v>732</v>
      </c>
      <c r="D6" s="25" t="s">
        <v>719</v>
      </c>
      <c r="E6" s="94"/>
      <c r="F6" s="25"/>
      <c r="G6" s="25"/>
      <c r="H6" s="27" t="s">
        <v>406</v>
      </c>
      <c r="I6" s="24" t="s">
        <v>707</v>
      </c>
      <c r="J6" s="26" t="s">
        <v>708</v>
      </c>
      <c r="K6" s="70" t="s">
        <v>703</v>
      </c>
      <c r="L6" s="68">
        <v>1</v>
      </c>
      <c r="M6" s="24" t="s">
        <v>697</v>
      </c>
      <c r="N6" s="106" t="s">
        <v>704</v>
      </c>
      <c r="O6" s="107">
        <v>0.52</v>
      </c>
      <c r="P6" s="106" t="s">
        <v>705</v>
      </c>
      <c r="Q6" s="107">
        <v>0.55000000000000004</v>
      </c>
      <c r="R6" s="106" t="s">
        <v>706</v>
      </c>
      <c r="S6" s="68">
        <v>2.0299999999999998</v>
      </c>
      <c r="T6" s="24" t="s">
        <v>669</v>
      </c>
      <c r="U6" s="25">
        <v>0.36230000000000001</v>
      </c>
      <c r="V6" s="137" t="s">
        <v>693</v>
      </c>
      <c r="W6" s="58">
        <v>1.39</v>
      </c>
      <c r="X6" s="58" t="s">
        <v>1320</v>
      </c>
      <c r="Y6" s="58" t="s">
        <v>1321</v>
      </c>
      <c r="Z6" s="140">
        <v>1.12E-2</v>
      </c>
      <c r="AA6" s="142" t="s">
        <v>693</v>
      </c>
      <c r="AB6" s="58">
        <v>4.5669000000000004</v>
      </c>
      <c r="AE6" s="103"/>
    </row>
    <row r="7" spans="1:31" x14ac:dyDescent="0.3">
      <c r="A7" s="103" t="s">
        <v>669</v>
      </c>
      <c r="B7" s="25" t="s">
        <v>724</v>
      </c>
      <c r="C7" s="25"/>
      <c r="D7" s="25" t="s">
        <v>806</v>
      </c>
      <c r="E7" s="94"/>
      <c r="F7" s="25"/>
      <c r="G7" s="25"/>
      <c r="H7" s="27" t="s">
        <v>403</v>
      </c>
      <c r="I7" s="24" t="s">
        <v>717</v>
      </c>
      <c r="J7" s="26"/>
      <c r="K7" s="70" t="s">
        <v>744</v>
      </c>
      <c r="L7" s="338">
        <v>1.41</v>
      </c>
      <c r="M7" s="24" t="s">
        <v>714</v>
      </c>
      <c r="N7" s="106" t="s">
        <v>715</v>
      </c>
      <c r="O7" s="107">
        <v>0.7</v>
      </c>
      <c r="P7" s="106" t="s">
        <v>716</v>
      </c>
      <c r="Q7" s="107">
        <v>0.88</v>
      </c>
      <c r="R7" s="106" t="s">
        <v>800</v>
      </c>
      <c r="S7" s="68">
        <v>1.68</v>
      </c>
      <c r="T7" s="63" t="s">
        <v>1400</v>
      </c>
      <c r="U7" s="136">
        <v>13.569000000000001</v>
      </c>
      <c r="V7" s="137" t="s">
        <v>673</v>
      </c>
      <c r="W7" s="58">
        <v>2.1520999999999999</v>
      </c>
      <c r="X7" s="58" t="s">
        <v>1322</v>
      </c>
      <c r="Y7" s="58" t="s">
        <v>1323</v>
      </c>
      <c r="Z7" s="140">
        <v>1.18E-2</v>
      </c>
      <c r="AA7" s="142" t="s">
        <v>673</v>
      </c>
      <c r="AB7" s="58">
        <v>1.5458000000000001</v>
      </c>
      <c r="AE7" s="103"/>
    </row>
    <row r="8" spans="1:31" x14ac:dyDescent="0.3">
      <c r="A8" s="103"/>
      <c r="B8" s="25" t="s">
        <v>731</v>
      </c>
      <c r="C8" s="25"/>
      <c r="D8" s="126" t="s">
        <v>1265</v>
      </c>
      <c r="E8" s="94"/>
      <c r="F8" s="25"/>
      <c r="G8" s="25"/>
      <c r="H8" s="27"/>
      <c r="I8" s="24"/>
      <c r="J8" s="26"/>
      <c r="K8" s="70" t="s">
        <v>720</v>
      </c>
      <c r="L8" s="68">
        <v>1.52</v>
      </c>
      <c r="M8" s="24" t="s">
        <v>698</v>
      </c>
      <c r="N8" s="106" t="s">
        <v>721</v>
      </c>
      <c r="O8" s="107">
        <v>0.89</v>
      </c>
      <c r="P8" s="106" t="s">
        <v>722</v>
      </c>
      <c r="Q8" s="107">
        <v>1.18</v>
      </c>
      <c r="R8" s="106" t="s">
        <v>723</v>
      </c>
      <c r="S8" s="68">
        <v>2.84</v>
      </c>
      <c r="T8" s="63" t="s">
        <v>1399</v>
      </c>
      <c r="U8" s="136">
        <v>0.34399999999999997</v>
      </c>
      <c r="V8" s="137" t="s">
        <v>1266</v>
      </c>
      <c r="W8" s="58">
        <v>1.0526</v>
      </c>
      <c r="X8" s="58" t="s">
        <v>1324</v>
      </c>
      <c r="Y8" s="58" t="s">
        <v>1325</v>
      </c>
      <c r="Z8" s="140">
        <v>1.78E-2</v>
      </c>
      <c r="AA8" s="142" t="s">
        <v>1266</v>
      </c>
      <c r="AB8" s="58">
        <v>1.2725</v>
      </c>
    </row>
    <row r="9" spans="1:31" x14ac:dyDescent="0.3">
      <c r="A9" s="103"/>
      <c r="B9" s="25" t="s">
        <v>738</v>
      </c>
      <c r="C9" s="25"/>
      <c r="D9" s="25"/>
      <c r="E9" s="94"/>
      <c r="F9" s="25"/>
      <c r="G9" s="25"/>
      <c r="H9" s="27"/>
      <c r="I9" s="24"/>
      <c r="J9" s="26"/>
      <c r="K9" s="70" t="s">
        <v>725</v>
      </c>
      <c r="L9" s="68">
        <v>0.85</v>
      </c>
      <c r="M9" s="24"/>
      <c r="N9" s="106" t="s">
        <v>726</v>
      </c>
      <c r="O9" s="107">
        <v>0.47</v>
      </c>
      <c r="P9" s="106" t="s">
        <v>727</v>
      </c>
      <c r="Q9" s="107">
        <v>0.7</v>
      </c>
      <c r="R9" s="106" t="s">
        <v>728</v>
      </c>
      <c r="S9" s="68">
        <v>4.88</v>
      </c>
      <c r="T9" s="24" t="s">
        <v>804</v>
      </c>
      <c r="U9" s="25">
        <v>0.71599999999999997</v>
      </c>
      <c r="V9" s="137" t="s">
        <v>669</v>
      </c>
      <c r="W9" s="58">
        <v>0.51680000000000004</v>
      </c>
      <c r="X9" s="58" t="s">
        <v>1326</v>
      </c>
      <c r="Y9" s="58" t="s">
        <v>1327</v>
      </c>
      <c r="Z9" s="140">
        <v>9.9000000000000008E-3</v>
      </c>
      <c r="AA9" s="142" t="s">
        <v>669</v>
      </c>
      <c r="AB9" s="58">
        <v>0.2611</v>
      </c>
      <c r="AC9" s="58">
        <v>0.95860000000000001</v>
      </c>
    </row>
    <row r="10" spans="1:31" x14ac:dyDescent="0.3">
      <c r="A10" s="103"/>
      <c r="B10" s="25" t="s">
        <v>743</v>
      </c>
      <c r="C10" s="25"/>
      <c r="D10" s="25"/>
      <c r="E10" s="94"/>
      <c r="F10" s="25"/>
      <c r="G10" s="25"/>
      <c r="H10" s="27"/>
      <c r="I10" s="132" t="s">
        <v>1422</v>
      </c>
      <c r="J10" s="26"/>
      <c r="K10" s="70" t="s">
        <v>733</v>
      </c>
      <c r="L10" s="68">
        <v>0.08</v>
      </c>
      <c r="M10" s="24"/>
      <c r="N10" s="106" t="s">
        <v>734</v>
      </c>
      <c r="O10" s="107">
        <v>0.45</v>
      </c>
      <c r="P10" s="106" t="s">
        <v>735</v>
      </c>
      <c r="Q10" s="107">
        <v>0.7</v>
      </c>
      <c r="R10" s="106" t="s">
        <v>736</v>
      </c>
      <c r="S10" s="68">
        <v>2.11</v>
      </c>
      <c r="T10" s="24" t="s">
        <v>805</v>
      </c>
      <c r="U10" s="25">
        <v>0.34399999999999997</v>
      </c>
      <c r="V10" s="137"/>
      <c r="X10" s="58" t="s">
        <v>1328</v>
      </c>
      <c r="Y10" s="58" t="s">
        <v>1329</v>
      </c>
      <c r="Z10" s="140">
        <v>8.2000000000000007E-3</v>
      </c>
    </row>
    <row r="11" spans="1:31" x14ac:dyDescent="0.3">
      <c r="A11" s="103"/>
      <c r="B11" s="25" t="s">
        <v>747</v>
      </c>
      <c r="C11" s="25"/>
      <c r="D11" s="25"/>
      <c r="E11" s="94"/>
      <c r="F11" s="25"/>
      <c r="G11" s="25"/>
      <c r="H11" s="27"/>
      <c r="I11" s="24" t="s">
        <v>1410</v>
      </c>
      <c r="J11" s="26"/>
      <c r="K11" s="70" t="s">
        <v>739</v>
      </c>
      <c r="L11" s="338">
        <v>1.82</v>
      </c>
      <c r="M11" s="24"/>
      <c r="N11" s="106" t="s">
        <v>740</v>
      </c>
      <c r="O11" s="107">
        <v>0.48</v>
      </c>
      <c r="P11" s="106" t="s">
        <v>741</v>
      </c>
      <c r="Q11" s="107">
        <v>0.79</v>
      </c>
      <c r="R11" s="106" t="s">
        <v>742</v>
      </c>
      <c r="S11" s="68">
        <v>1.2</v>
      </c>
      <c r="T11" s="24"/>
      <c r="U11" s="108"/>
      <c r="V11" s="59"/>
      <c r="X11" s="58" t="s">
        <v>1330</v>
      </c>
      <c r="Y11" s="58" t="s">
        <v>1331</v>
      </c>
      <c r="Z11" s="140">
        <v>2.23E-2</v>
      </c>
    </row>
    <row r="12" spans="1:31" x14ac:dyDescent="0.3">
      <c r="F12" s="129"/>
      <c r="G12" s="129"/>
      <c r="H12" s="27"/>
      <c r="I12" s="24" t="s">
        <v>1414</v>
      </c>
      <c r="J12" s="26"/>
      <c r="K12" s="70" t="s">
        <v>713</v>
      </c>
      <c r="L12" s="338">
        <v>0.92</v>
      </c>
      <c r="M12" s="24"/>
      <c r="N12" s="106" t="s">
        <v>1401</v>
      </c>
      <c r="O12" s="107">
        <v>0.45</v>
      </c>
      <c r="P12" s="106" t="s">
        <v>745</v>
      </c>
      <c r="Q12" s="107">
        <v>1.1200000000000001</v>
      </c>
      <c r="R12" s="106" t="s">
        <v>746</v>
      </c>
      <c r="S12" s="68">
        <v>2.42</v>
      </c>
      <c r="T12" s="24"/>
      <c r="U12" s="108"/>
      <c r="V12" s="59"/>
      <c r="X12" s="58" t="s">
        <v>1332</v>
      </c>
      <c r="Y12" s="58" t="s">
        <v>1333</v>
      </c>
      <c r="Z12" s="140">
        <v>5.9400000000000001E-2</v>
      </c>
    </row>
    <row r="13" spans="1:31" x14ac:dyDescent="0.3">
      <c r="F13" s="129"/>
      <c r="G13" s="129"/>
      <c r="H13" s="27"/>
      <c r="I13" s="24" t="s">
        <v>1420</v>
      </c>
      <c r="J13" s="26"/>
      <c r="K13" s="24"/>
      <c r="L13" s="26"/>
      <c r="M13" s="24"/>
      <c r="N13" s="106" t="s">
        <v>1402</v>
      </c>
      <c r="O13" s="107">
        <v>0.6</v>
      </c>
      <c r="P13" s="106" t="s">
        <v>748</v>
      </c>
      <c r="Q13" s="107">
        <v>1.01</v>
      </c>
      <c r="R13" s="106" t="s">
        <v>749</v>
      </c>
      <c r="S13" s="68">
        <v>2.44</v>
      </c>
      <c r="T13" s="24"/>
      <c r="U13" s="108"/>
      <c r="V13" s="59"/>
      <c r="X13" s="58" t="s">
        <v>1334</v>
      </c>
      <c r="Y13" s="58" t="s">
        <v>1335</v>
      </c>
      <c r="Z13" s="140">
        <v>7.1400000000000005E-2</v>
      </c>
    </row>
    <row r="14" spans="1:31" x14ac:dyDescent="0.3">
      <c r="A14" s="103"/>
      <c r="B14" s="25"/>
      <c r="C14" s="25"/>
      <c r="D14" s="25"/>
      <c r="E14" s="94"/>
      <c r="F14" s="25"/>
      <c r="G14" s="25"/>
      <c r="H14" s="27"/>
      <c r="I14" s="24"/>
      <c r="J14" s="26"/>
      <c r="K14" s="24"/>
      <c r="L14" s="26"/>
      <c r="M14" s="24"/>
      <c r="N14" s="106" t="s">
        <v>750</v>
      </c>
      <c r="O14" s="107">
        <v>0.65</v>
      </c>
      <c r="P14" s="106" t="s">
        <v>751</v>
      </c>
      <c r="Q14" s="107">
        <v>0.36</v>
      </c>
      <c r="R14" s="106" t="s">
        <v>752</v>
      </c>
      <c r="S14" s="68">
        <v>2.4700000000000002</v>
      </c>
      <c r="T14" s="24"/>
      <c r="U14" s="108"/>
      <c r="V14" s="59"/>
      <c r="X14" s="58" t="s">
        <v>1336</v>
      </c>
      <c r="Y14" s="58" t="s">
        <v>1337</v>
      </c>
      <c r="Z14" s="140">
        <v>8.3199999999999996E-2</v>
      </c>
    </row>
    <row r="15" spans="1:31" x14ac:dyDescent="0.3">
      <c r="A15" s="103"/>
      <c r="B15" s="25"/>
      <c r="C15" s="25"/>
      <c r="D15" s="25"/>
      <c r="E15" s="94"/>
      <c r="F15" s="25"/>
      <c r="G15" s="25"/>
      <c r="H15" s="27"/>
      <c r="I15" s="24"/>
      <c r="J15" s="26"/>
      <c r="K15" s="24"/>
      <c r="L15" s="26"/>
      <c r="M15" s="24"/>
      <c r="N15" s="106" t="s">
        <v>753</v>
      </c>
      <c r="O15" s="107">
        <v>1</v>
      </c>
      <c r="P15" s="106" t="s">
        <v>754</v>
      </c>
      <c r="Q15" s="107">
        <v>0.38</v>
      </c>
      <c r="R15" s="106" t="s">
        <v>755</v>
      </c>
      <c r="S15" s="68">
        <v>1.95</v>
      </c>
      <c r="T15" s="24"/>
      <c r="U15" s="108"/>
      <c r="V15" s="59"/>
      <c r="X15" s="58" t="s">
        <v>1338</v>
      </c>
      <c r="Y15" s="58" t="s">
        <v>1339</v>
      </c>
      <c r="Z15" s="140">
        <v>0.11890000000000001</v>
      </c>
    </row>
    <row r="16" spans="1:31" x14ac:dyDescent="0.3">
      <c r="A16" s="103"/>
      <c r="B16" s="25"/>
      <c r="C16" s="25"/>
      <c r="D16" s="25"/>
      <c r="E16" s="94"/>
      <c r="F16" s="25"/>
      <c r="G16" s="25"/>
      <c r="H16" s="27"/>
      <c r="I16" s="132" t="s">
        <v>1423</v>
      </c>
      <c r="J16" s="26"/>
      <c r="K16" s="24"/>
      <c r="L16" s="26"/>
      <c r="M16" s="24"/>
      <c r="N16" s="106" t="s">
        <v>801</v>
      </c>
      <c r="O16" s="107">
        <v>0.15</v>
      </c>
      <c r="P16" s="106" t="s">
        <v>757</v>
      </c>
      <c r="Q16" s="107">
        <v>1.98</v>
      </c>
      <c r="R16" s="106" t="s">
        <v>758</v>
      </c>
      <c r="S16" s="68">
        <v>2.25</v>
      </c>
      <c r="T16" s="24"/>
      <c r="U16" s="108"/>
      <c r="V16" s="59"/>
      <c r="X16" s="58" t="s">
        <v>1340</v>
      </c>
      <c r="Y16" s="58" t="s">
        <v>1341</v>
      </c>
      <c r="Z16" s="140">
        <v>0.13070000000000001</v>
      </c>
    </row>
    <row r="17" spans="1:26" x14ac:dyDescent="0.3">
      <c r="A17" s="103"/>
      <c r="B17" s="25"/>
      <c r="C17" s="25"/>
      <c r="D17" s="25"/>
      <c r="E17" s="94"/>
      <c r="F17" s="25"/>
      <c r="G17" s="25"/>
      <c r="H17" s="27"/>
      <c r="I17" s="24" t="s">
        <v>1410</v>
      </c>
      <c r="J17" s="26"/>
      <c r="K17" s="24"/>
      <c r="L17" s="26"/>
      <c r="M17" s="24"/>
      <c r="N17" s="106" t="s">
        <v>759</v>
      </c>
      <c r="O17" s="107">
        <v>0.15</v>
      </c>
      <c r="P17" s="106" t="s">
        <v>760</v>
      </c>
      <c r="Q17" s="107">
        <v>1.47</v>
      </c>
      <c r="R17" s="106" t="s">
        <v>761</v>
      </c>
      <c r="S17" s="68">
        <v>4.82</v>
      </c>
      <c r="T17" s="24"/>
      <c r="U17" s="108"/>
      <c r="V17" s="59"/>
      <c r="X17" s="58" t="s">
        <v>1342</v>
      </c>
      <c r="Y17" s="58" t="s">
        <v>1343</v>
      </c>
      <c r="Z17" s="140">
        <v>0.15459999999999999</v>
      </c>
    </row>
    <row r="18" spans="1:26" x14ac:dyDescent="0.3">
      <c r="A18" s="204" t="s">
        <v>1409</v>
      </c>
      <c r="B18" s="25"/>
      <c r="C18" s="205" t="s">
        <v>1421</v>
      </c>
      <c r="D18" s="25"/>
      <c r="E18" s="212" t="s">
        <v>1426</v>
      </c>
      <c r="F18" s="25"/>
      <c r="G18" s="25"/>
      <c r="H18" s="27"/>
      <c r="I18" s="24" t="s">
        <v>1414</v>
      </c>
      <c r="J18" s="26"/>
      <c r="K18" s="24"/>
      <c r="L18" s="26"/>
      <c r="M18" s="24"/>
      <c r="N18" s="106" t="s">
        <v>762</v>
      </c>
      <c r="O18" s="107">
        <v>0.39</v>
      </c>
      <c r="P18" s="106" t="s">
        <v>763</v>
      </c>
      <c r="Q18" s="107">
        <v>1.92</v>
      </c>
      <c r="R18" s="106" t="s">
        <v>764</v>
      </c>
      <c r="S18" s="68">
        <v>4.2699999999999996</v>
      </c>
      <c r="T18" s="24"/>
      <c r="U18" s="108"/>
      <c r="V18" s="59"/>
      <c r="X18" s="58" t="s">
        <v>1344</v>
      </c>
      <c r="Y18" s="58" t="s">
        <v>1345</v>
      </c>
      <c r="Z18" s="140">
        <v>0.1663</v>
      </c>
    </row>
    <row r="19" spans="1:26" x14ac:dyDescent="0.3">
      <c r="A19" s="103" t="s">
        <v>669</v>
      </c>
      <c r="B19" s="25"/>
      <c r="C19" s="25" t="s">
        <v>701</v>
      </c>
      <c r="D19" s="25"/>
      <c r="E19" s="94" t="s">
        <v>679</v>
      </c>
      <c r="F19" s="25"/>
      <c r="G19" s="25"/>
      <c r="H19" s="27"/>
      <c r="I19" s="24"/>
      <c r="J19" s="26"/>
      <c r="K19" s="24"/>
      <c r="L19" s="26"/>
      <c r="M19" s="24"/>
      <c r="N19" s="106" t="s">
        <v>765</v>
      </c>
      <c r="O19" s="107">
        <v>1.03</v>
      </c>
      <c r="P19" s="106" t="s">
        <v>766</v>
      </c>
      <c r="Q19" s="107">
        <v>0.82</v>
      </c>
      <c r="R19" s="106" t="s">
        <v>767</v>
      </c>
      <c r="S19" s="68">
        <v>2.15</v>
      </c>
      <c r="T19" s="24"/>
      <c r="U19" s="108"/>
      <c r="V19" s="59"/>
      <c r="X19" s="58" t="s">
        <v>1346</v>
      </c>
      <c r="Y19" s="58" t="s">
        <v>1347</v>
      </c>
      <c r="Z19" s="140">
        <v>0.19020000000000001</v>
      </c>
    </row>
    <row r="20" spans="1:26" x14ac:dyDescent="0.3">
      <c r="A20" s="103" t="s">
        <v>1266</v>
      </c>
      <c r="B20" s="25"/>
      <c r="C20" s="25" t="s">
        <v>711</v>
      </c>
      <c r="D20" s="25"/>
      <c r="E20" s="94" t="s">
        <v>1414</v>
      </c>
      <c r="F20" s="25"/>
      <c r="G20" s="25"/>
      <c r="H20" s="27"/>
      <c r="I20" s="24"/>
      <c r="J20" s="26"/>
      <c r="K20" s="24"/>
      <c r="L20" s="26"/>
      <c r="M20" s="24"/>
      <c r="N20" s="106" t="s">
        <v>768</v>
      </c>
      <c r="O20" s="107">
        <v>0.43</v>
      </c>
      <c r="P20" s="106" t="s">
        <v>769</v>
      </c>
      <c r="Q20" s="107">
        <v>0.52</v>
      </c>
      <c r="R20" s="106" t="s">
        <v>770</v>
      </c>
      <c r="S20" s="68">
        <v>1.85</v>
      </c>
      <c r="T20" s="24"/>
      <c r="U20" s="108"/>
      <c r="V20" s="59"/>
      <c r="X20" s="58" t="s">
        <v>1348</v>
      </c>
      <c r="Y20" s="58" t="s">
        <v>1349</v>
      </c>
      <c r="Z20" s="140">
        <v>0.23769999999999999</v>
      </c>
    </row>
    <row r="21" spans="1:26" x14ac:dyDescent="0.3">
      <c r="A21" s="103"/>
      <c r="B21" s="25"/>
      <c r="C21" s="25" t="s">
        <v>719</v>
      </c>
      <c r="D21" s="25"/>
      <c r="E21" s="94"/>
      <c r="F21" s="25"/>
      <c r="G21" s="25"/>
      <c r="H21" s="27"/>
      <c r="I21" s="24"/>
      <c r="J21" s="26"/>
      <c r="K21" s="24"/>
      <c r="L21" s="26"/>
      <c r="M21" s="24"/>
      <c r="N21" s="106" t="s">
        <v>771</v>
      </c>
      <c r="O21" s="107">
        <v>0.43</v>
      </c>
      <c r="P21" s="106" t="s">
        <v>772</v>
      </c>
      <c r="Q21" s="107">
        <v>1.2</v>
      </c>
      <c r="R21" s="106" t="s">
        <v>773</v>
      </c>
      <c r="S21" s="68">
        <v>1.68</v>
      </c>
      <c r="T21" s="24"/>
      <c r="U21" s="108"/>
      <c r="V21" s="59"/>
      <c r="X21" s="58" t="s">
        <v>1350</v>
      </c>
      <c r="Y21" s="58" t="s">
        <v>1351</v>
      </c>
      <c r="Z21" s="140">
        <v>0.29720000000000002</v>
      </c>
    </row>
    <row r="22" spans="1:26" x14ac:dyDescent="0.3">
      <c r="A22" s="103"/>
      <c r="B22" s="25"/>
      <c r="C22" s="25" t="s">
        <v>806</v>
      </c>
      <c r="D22" s="25"/>
      <c r="E22" s="94"/>
      <c r="F22" s="25"/>
      <c r="G22" s="25"/>
      <c r="H22" s="27"/>
      <c r="I22" s="24"/>
      <c r="J22" s="26"/>
      <c r="K22" s="24"/>
      <c r="L22" s="26"/>
      <c r="M22" s="24"/>
      <c r="N22" s="106" t="s">
        <v>774</v>
      </c>
      <c r="O22" s="107">
        <v>0.43</v>
      </c>
      <c r="P22" s="106" t="s">
        <v>775</v>
      </c>
      <c r="Q22" s="107">
        <v>1.95</v>
      </c>
      <c r="R22" s="106" t="s">
        <v>776</v>
      </c>
      <c r="S22" s="68">
        <v>1.68</v>
      </c>
      <c r="T22" s="24"/>
      <c r="U22" s="108"/>
      <c r="V22" s="59"/>
      <c r="X22" s="58" t="s">
        <v>1352</v>
      </c>
      <c r="Y22" s="58" t="s">
        <v>1353</v>
      </c>
      <c r="Z22" s="140">
        <v>0.33279999999999998</v>
      </c>
    </row>
    <row r="23" spans="1:26" x14ac:dyDescent="0.3">
      <c r="A23" s="103"/>
      <c r="B23" s="25"/>
      <c r="C23" s="126" t="s">
        <v>1265</v>
      </c>
      <c r="D23" s="25"/>
      <c r="E23" s="94"/>
      <c r="F23" s="25"/>
      <c r="G23" s="25"/>
      <c r="H23" s="27"/>
      <c r="I23" s="24"/>
      <c r="J23" s="26"/>
      <c r="K23" s="24"/>
      <c r="L23" s="26"/>
      <c r="M23" s="24"/>
      <c r="N23" s="106" t="s">
        <v>802</v>
      </c>
      <c r="O23" s="107">
        <v>0.95</v>
      </c>
      <c r="P23" s="106" t="s">
        <v>778</v>
      </c>
      <c r="Q23" s="107">
        <v>1.1599999999999999</v>
      </c>
      <c r="R23" s="106" t="s">
        <v>779</v>
      </c>
      <c r="S23" s="68">
        <v>2.02</v>
      </c>
      <c r="T23" s="24"/>
      <c r="U23" s="108"/>
      <c r="V23" s="59"/>
      <c r="X23" s="58" t="s">
        <v>1354</v>
      </c>
      <c r="Y23" s="58" t="s">
        <v>1355</v>
      </c>
      <c r="Z23" s="140">
        <v>0.49919999999999998</v>
      </c>
    </row>
    <row r="24" spans="1:26" ht="15" customHeight="1" x14ac:dyDescent="0.3">
      <c r="A24" s="103"/>
      <c r="B24" s="25"/>
      <c r="C24" s="25"/>
      <c r="D24" s="25"/>
      <c r="E24" s="94"/>
      <c r="F24" s="25"/>
      <c r="G24" s="25"/>
      <c r="H24" s="27"/>
      <c r="I24" s="24"/>
      <c r="J24" s="26"/>
      <c r="K24" s="24"/>
      <c r="L24" s="26"/>
      <c r="M24" s="24"/>
      <c r="N24" s="106" t="s">
        <v>780</v>
      </c>
      <c r="O24" s="107">
        <v>1.34</v>
      </c>
      <c r="P24" s="106" t="s">
        <v>781</v>
      </c>
      <c r="Q24" s="107">
        <v>0</v>
      </c>
      <c r="R24" s="106" t="s">
        <v>782</v>
      </c>
      <c r="S24" s="68">
        <v>1.47</v>
      </c>
      <c r="T24" s="24"/>
      <c r="U24" s="108"/>
      <c r="V24" s="59"/>
      <c r="X24" s="58" t="s">
        <v>1356</v>
      </c>
      <c r="Y24" s="58" t="s">
        <v>1357</v>
      </c>
      <c r="Z24" s="140">
        <v>0.35649999999999998</v>
      </c>
    </row>
    <row r="25" spans="1:26" x14ac:dyDescent="0.3">
      <c r="A25" s="103"/>
      <c r="B25" s="25"/>
      <c r="C25" s="25"/>
      <c r="D25" s="25"/>
      <c r="E25" s="94"/>
      <c r="F25" s="25"/>
      <c r="G25" s="25"/>
      <c r="H25" s="27"/>
      <c r="I25" s="24"/>
      <c r="J25" s="26"/>
      <c r="K25" s="24"/>
      <c r="L25" s="26"/>
      <c r="M25" s="24"/>
      <c r="N25" s="106" t="s">
        <v>783</v>
      </c>
      <c r="O25" s="107">
        <v>0</v>
      </c>
      <c r="P25" s="25"/>
      <c r="Q25" s="67"/>
      <c r="R25" s="106" t="s">
        <v>784</v>
      </c>
      <c r="S25" s="68">
        <v>2.23</v>
      </c>
      <c r="T25" s="24"/>
      <c r="U25" s="108"/>
      <c r="V25" s="59"/>
      <c r="X25" s="58" t="s">
        <v>1358</v>
      </c>
      <c r="Y25" s="58" t="s">
        <v>1359</v>
      </c>
      <c r="Z25" s="140">
        <v>0.4753</v>
      </c>
    </row>
    <row r="26" spans="1:26" x14ac:dyDescent="0.3">
      <c r="A26" s="103"/>
      <c r="B26" s="25"/>
      <c r="C26" s="25"/>
      <c r="D26" s="25"/>
      <c r="E26" s="94"/>
      <c r="F26" s="25"/>
      <c r="G26" s="25"/>
      <c r="H26" s="27"/>
      <c r="I26" s="24"/>
      <c r="J26" s="26"/>
      <c r="K26" s="24"/>
      <c r="L26" s="26"/>
      <c r="M26" s="24"/>
      <c r="N26" s="106" t="s">
        <v>781</v>
      </c>
      <c r="O26" s="107">
        <v>0</v>
      </c>
      <c r="P26" s="25"/>
      <c r="Q26" s="67"/>
      <c r="R26" s="106" t="s">
        <v>786</v>
      </c>
      <c r="S26" s="68">
        <v>1.8</v>
      </c>
      <c r="T26" s="24"/>
      <c r="U26" s="108"/>
      <c r="V26" s="59"/>
      <c r="X26" s="58" t="s">
        <v>1360</v>
      </c>
      <c r="Y26" s="58" t="s">
        <v>1361</v>
      </c>
      <c r="Z26" s="140">
        <v>0.59419999999999995</v>
      </c>
    </row>
    <row r="27" spans="1:26" x14ac:dyDescent="0.3">
      <c r="A27" s="103"/>
      <c r="B27" s="25"/>
      <c r="C27" s="25"/>
      <c r="D27" s="25"/>
      <c r="E27" s="94"/>
      <c r="F27" s="25"/>
      <c r="G27" s="25"/>
      <c r="H27" s="27"/>
      <c r="I27" s="24"/>
      <c r="J27" s="26"/>
      <c r="K27" s="24"/>
      <c r="L27" s="26"/>
      <c r="M27" s="24"/>
      <c r="N27" s="25"/>
      <c r="O27" s="67"/>
      <c r="P27" s="25"/>
      <c r="Q27" s="67"/>
      <c r="R27" s="106" t="s">
        <v>787</v>
      </c>
      <c r="S27" s="68">
        <v>2.27</v>
      </c>
      <c r="T27" s="24"/>
      <c r="U27" s="108"/>
      <c r="V27" s="59"/>
      <c r="X27" s="58" t="s">
        <v>1362</v>
      </c>
      <c r="Y27" s="58" t="s">
        <v>1363</v>
      </c>
      <c r="Z27" s="140">
        <v>0.68930000000000002</v>
      </c>
    </row>
    <row r="28" spans="1:26" x14ac:dyDescent="0.3">
      <c r="A28" s="103"/>
      <c r="B28" s="25"/>
      <c r="C28" s="25"/>
      <c r="D28" s="25"/>
      <c r="E28" s="94"/>
      <c r="F28" s="25"/>
      <c r="G28" s="25"/>
      <c r="H28" s="27"/>
      <c r="I28" s="24"/>
      <c r="J28" s="26"/>
      <c r="K28" s="24"/>
      <c r="L28" s="26"/>
      <c r="M28" s="24"/>
      <c r="N28" s="25"/>
      <c r="O28" s="67"/>
      <c r="P28" s="25"/>
      <c r="Q28" s="67"/>
      <c r="R28" s="106" t="s">
        <v>788</v>
      </c>
      <c r="S28" s="68">
        <v>2.4900000000000002</v>
      </c>
      <c r="T28" s="24"/>
      <c r="U28" s="108"/>
      <c r="V28" s="59"/>
      <c r="X28" s="58" t="s">
        <v>1364</v>
      </c>
      <c r="Y28" s="58" t="s">
        <v>1365</v>
      </c>
      <c r="Z28" s="140">
        <v>0.77259999999999995</v>
      </c>
    </row>
    <row r="29" spans="1:26" x14ac:dyDescent="0.3">
      <c r="A29" s="103"/>
      <c r="B29" s="25"/>
      <c r="C29" s="25"/>
      <c r="D29" s="25"/>
      <c r="E29" s="94"/>
      <c r="F29" s="25"/>
      <c r="G29" s="25"/>
      <c r="H29" s="27"/>
      <c r="I29" s="24"/>
      <c r="J29" s="26"/>
      <c r="K29" s="24"/>
      <c r="L29" s="26"/>
      <c r="M29" s="24"/>
      <c r="N29" s="25"/>
      <c r="O29" s="67"/>
      <c r="P29" s="25"/>
      <c r="Q29" s="67"/>
      <c r="R29" s="106" t="s">
        <v>789</v>
      </c>
      <c r="S29" s="68">
        <v>2</v>
      </c>
      <c r="T29" s="24"/>
      <c r="U29" s="108"/>
      <c r="V29" s="59"/>
      <c r="X29" s="58" t="s">
        <v>1366</v>
      </c>
      <c r="Y29" s="58" t="s">
        <v>1367</v>
      </c>
      <c r="Z29" s="140">
        <v>0.83199999999999996</v>
      </c>
    </row>
    <row r="30" spans="1:26" x14ac:dyDescent="0.3">
      <c r="A30" s="103"/>
      <c r="B30" s="25"/>
      <c r="C30" s="25"/>
      <c r="D30" s="25"/>
      <c r="E30" s="94"/>
      <c r="F30" s="25"/>
      <c r="G30" s="25"/>
      <c r="H30" s="27"/>
      <c r="I30" s="24"/>
      <c r="J30" s="26"/>
      <c r="K30" s="24"/>
      <c r="L30" s="26"/>
      <c r="M30" s="24"/>
      <c r="N30" s="25"/>
      <c r="O30" s="67"/>
      <c r="P30" s="25"/>
      <c r="Q30" s="67"/>
      <c r="R30" s="106" t="s">
        <v>790</v>
      </c>
      <c r="S30" s="68">
        <v>2.09</v>
      </c>
      <c r="T30" s="24"/>
      <c r="U30" s="108"/>
      <c r="V30" s="59"/>
      <c r="X30" s="58" t="s">
        <v>1368</v>
      </c>
      <c r="Y30" s="58" t="s">
        <v>1369</v>
      </c>
      <c r="Z30" s="140">
        <v>1.3906000000000001</v>
      </c>
    </row>
    <row r="31" spans="1:26" x14ac:dyDescent="0.3">
      <c r="A31" s="103"/>
      <c r="B31" s="25"/>
      <c r="C31" s="25"/>
      <c r="D31" s="25"/>
      <c r="E31" s="94"/>
      <c r="F31" s="25"/>
      <c r="G31" s="25"/>
      <c r="H31" s="27"/>
      <c r="I31" s="24"/>
      <c r="J31" s="26"/>
      <c r="K31" s="24"/>
      <c r="L31" s="26"/>
      <c r="M31" s="24"/>
      <c r="N31" s="25"/>
      <c r="O31" s="67"/>
      <c r="P31" s="25"/>
      <c r="Q31" s="67"/>
      <c r="R31" s="106" t="s">
        <v>791</v>
      </c>
      <c r="S31" s="68">
        <v>2.82</v>
      </c>
      <c r="T31" s="24"/>
      <c r="U31" s="108"/>
      <c r="V31" s="59"/>
      <c r="X31" s="58" t="s">
        <v>1370</v>
      </c>
      <c r="Y31" s="58" t="s">
        <v>1371</v>
      </c>
      <c r="Z31" s="140">
        <v>1.8066</v>
      </c>
    </row>
    <row r="32" spans="1:26" x14ac:dyDescent="0.3">
      <c r="A32" s="103"/>
      <c r="B32" s="25"/>
      <c r="C32" s="25"/>
      <c r="D32" s="25"/>
      <c r="E32" s="94"/>
      <c r="F32" s="25"/>
      <c r="G32" s="25"/>
      <c r="H32" s="27"/>
      <c r="I32" s="24"/>
      <c r="J32" s="26"/>
      <c r="K32" s="24"/>
      <c r="L32" s="26"/>
      <c r="M32" s="24"/>
      <c r="N32" s="25"/>
      <c r="O32" s="67"/>
      <c r="P32" s="25"/>
      <c r="Q32" s="67"/>
      <c r="R32" s="106" t="s">
        <v>792</v>
      </c>
      <c r="S32" s="68">
        <v>1.78</v>
      </c>
      <c r="T32" s="24"/>
      <c r="U32" s="108"/>
      <c r="V32" s="59"/>
      <c r="X32" s="58" t="s">
        <v>1372</v>
      </c>
      <c r="Y32" s="58" t="s">
        <v>1373</v>
      </c>
      <c r="Z32" s="140">
        <v>8.2246000000000006</v>
      </c>
    </row>
    <row r="33" spans="1:26" x14ac:dyDescent="0.3">
      <c r="A33" s="103"/>
      <c r="B33" s="25"/>
      <c r="C33" s="25"/>
      <c r="D33" s="25"/>
      <c r="E33" s="94"/>
      <c r="F33" s="25"/>
      <c r="G33" s="25"/>
      <c r="H33" s="27"/>
      <c r="I33" s="24"/>
      <c r="J33" s="26"/>
      <c r="K33" s="24"/>
      <c r="L33" s="26"/>
      <c r="M33" s="24"/>
      <c r="N33" s="25"/>
      <c r="O33" s="67"/>
      <c r="P33" s="25"/>
      <c r="Q33" s="67"/>
      <c r="R33" s="106" t="s">
        <v>793</v>
      </c>
      <c r="S33" s="68">
        <v>1.69</v>
      </c>
      <c r="T33" s="24"/>
      <c r="U33" s="108"/>
      <c r="V33" s="59"/>
      <c r="X33" s="58" t="s">
        <v>1374</v>
      </c>
      <c r="Y33" s="58" t="s">
        <v>1375</v>
      </c>
      <c r="Z33" s="140">
        <v>6.3349000000000002</v>
      </c>
    </row>
    <row r="34" spans="1:26" x14ac:dyDescent="0.3">
      <c r="A34" s="103"/>
      <c r="B34" s="25"/>
      <c r="C34" s="25"/>
      <c r="D34" s="25"/>
      <c r="E34" s="94"/>
      <c r="F34" s="25"/>
      <c r="G34" s="25"/>
      <c r="H34" s="27"/>
      <c r="I34" s="24"/>
      <c r="J34" s="26"/>
      <c r="K34" s="24"/>
      <c r="L34" s="26"/>
      <c r="M34" s="24"/>
      <c r="N34" s="25"/>
      <c r="O34" s="67"/>
      <c r="P34" s="25"/>
      <c r="Q34" s="67"/>
      <c r="R34" s="106" t="s">
        <v>794</v>
      </c>
      <c r="S34" s="68">
        <v>1.85</v>
      </c>
      <c r="T34" s="24"/>
      <c r="U34" s="108"/>
      <c r="V34" s="59"/>
      <c r="X34" s="58" t="s">
        <v>1376</v>
      </c>
      <c r="Y34" s="58" t="s">
        <v>1377</v>
      </c>
      <c r="Z34" s="140">
        <v>6.7626999999999997</v>
      </c>
    </row>
    <row r="35" spans="1:26" x14ac:dyDescent="0.3">
      <c r="A35" s="103"/>
      <c r="B35" s="25"/>
      <c r="C35" s="25"/>
      <c r="D35" s="25"/>
      <c r="E35" s="94"/>
      <c r="F35" s="25"/>
      <c r="G35" s="25"/>
      <c r="H35" s="27"/>
      <c r="I35" s="24"/>
      <c r="J35" s="26"/>
      <c r="K35" s="24"/>
      <c r="L35" s="26"/>
      <c r="M35" s="24"/>
      <c r="N35" s="25"/>
      <c r="O35" s="67"/>
      <c r="P35" s="25"/>
      <c r="Q35" s="67"/>
      <c r="R35" s="106" t="s">
        <v>795</v>
      </c>
      <c r="S35" s="68">
        <v>3.42</v>
      </c>
      <c r="T35" s="24"/>
      <c r="U35" s="108"/>
      <c r="V35" s="59"/>
      <c r="X35" s="58" t="s">
        <v>1378</v>
      </c>
      <c r="Y35" s="58" t="s">
        <v>1379</v>
      </c>
      <c r="Z35" s="140">
        <v>8.0225000000000009</v>
      </c>
    </row>
    <row r="36" spans="1:26" ht="15" thickBot="1" x14ac:dyDescent="0.35">
      <c r="A36" s="103"/>
      <c r="B36" s="25"/>
      <c r="C36" s="25"/>
      <c r="D36" s="25"/>
      <c r="E36" s="94"/>
      <c r="F36" s="25"/>
      <c r="G36" s="25"/>
      <c r="H36" s="27"/>
      <c r="I36" s="24"/>
      <c r="J36" s="26"/>
      <c r="K36" s="24"/>
      <c r="L36" s="26"/>
      <c r="M36" s="24"/>
      <c r="N36" s="110"/>
      <c r="O36" s="115"/>
      <c r="P36" s="110"/>
      <c r="Q36" s="115"/>
      <c r="R36" s="116" t="s">
        <v>781</v>
      </c>
      <c r="S36" s="117">
        <v>0</v>
      </c>
      <c r="T36" s="24"/>
      <c r="U36" s="108"/>
      <c r="V36" s="59"/>
      <c r="X36" s="58" t="s">
        <v>1380</v>
      </c>
      <c r="Y36" s="58" t="s">
        <v>1381</v>
      </c>
      <c r="Z36" s="140">
        <v>7.6064999999999996</v>
      </c>
    </row>
    <row r="37" spans="1:26" ht="15" thickBot="1" x14ac:dyDescent="0.35">
      <c r="A37" s="109"/>
      <c r="B37" s="110"/>
      <c r="C37" s="110"/>
      <c r="D37" s="110"/>
      <c r="E37" s="111"/>
      <c r="F37" s="110"/>
      <c r="G37" s="110"/>
      <c r="H37" s="113"/>
      <c r="I37" s="114"/>
      <c r="J37" s="112"/>
      <c r="K37" s="114"/>
      <c r="L37" s="112"/>
      <c r="M37" s="114"/>
      <c r="N37" s="62"/>
      <c r="O37" s="62"/>
      <c r="P37" s="62"/>
      <c r="Q37" s="62"/>
      <c r="R37" s="62"/>
      <c r="S37" s="62"/>
      <c r="T37" s="110"/>
      <c r="U37" s="118"/>
      <c r="V37" s="59"/>
      <c r="X37" s="58" t="s">
        <v>1382</v>
      </c>
      <c r="Y37" s="58" t="s">
        <v>1383</v>
      </c>
      <c r="Z37" s="140">
        <v>8.4504000000000001</v>
      </c>
    </row>
    <row r="38" spans="1:26" x14ac:dyDescent="0.3">
      <c r="A38" s="62"/>
      <c r="B38" s="62"/>
      <c r="C38" s="60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56"/>
      <c r="O38" s="56"/>
      <c r="P38" s="56"/>
      <c r="Q38" s="56"/>
      <c r="R38" s="56"/>
      <c r="S38" s="56"/>
      <c r="T38" s="60"/>
      <c r="U38" s="60"/>
      <c r="X38" s="58" t="s">
        <v>1384</v>
      </c>
      <c r="Y38" s="58" t="s">
        <v>1385</v>
      </c>
      <c r="Z38" s="140">
        <v>9.2943999999999996</v>
      </c>
    </row>
    <row r="39" spans="1:26" x14ac:dyDescent="0.3"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</row>
    <row r="40" spans="1:26" x14ac:dyDescent="0.3"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</row>
    <row r="41" spans="1:26" x14ac:dyDescent="0.3"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</row>
    <row r="42" spans="1:26" x14ac:dyDescent="0.3"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</row>
    <row r="43" spans="1:26" x14ac:dyDescent="0.3"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</row>
    <row r="44" spans="1:26" x14ac:dyDescent="0.3"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</row>
    <row r="45" spans="1:26" x14ac:dyDescent="0.3"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</row>
    <row r="46" spans="1:26" ht="19.5" customHeight="1" x14ac:dyDescent="0.3"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</row>
    <row r="47" spans="1:26" ht="18.45" customHeight="1" x14ac:dyDescent="0.3"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</row>
    <row r="48" spans="1:26" x14ac:dyDescent="0.3">
      <c r="A48" s="58" t="s">
        <v>807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</row>
    <row r="49" spans="1:19" x14ac:dyDescent="0.3"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</row>
    <row r="50" spans="1:19" x14ac:dyDescent="0.3"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</row>
    <row r="51" spans="1:19" x14ac:dyDescent="0.3"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</row>
    <row r="52" spans="1:19" x14ac:dyDescent="0.3">
      <c r="E52" s="56"/>
      <c r="F52" s="56"/>
      <c r="G52" s="56"/>
      <c r="H52" s="56"/>
      <c r="I52" s="56"/>
      <c r="J52" s="56"/>
      <c r="K52" s="56"/>
      <c r="L52" s="56"/>
      <c r="M52" s="56"/>
    </row>
    <row r="53" spans="1:19" x14ac:dyDescent="0.3">
      <c r="C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</row>
    <row r="54" spans="1:19" x14ac:dyDescent="0.3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</row>
    <row r="55" spans="1:19" x14ac:dyDescent="0.3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</row>
    <row r="56" spans="1:19" x14ac:dyDescent="0.3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</row>
    <row r="57" spans="1:19" x14ac:dyDescent="0.3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</row>
    <row r="58" spans="1:19" x14ac:dyDescent="0.3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</row>
    <row r="59" spans="1:19" x14ac:dyDescent="0.3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</row>
    <row r="60" spans="1:19" x14ac:dyDescent="0.3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</row>
    <row r="61" spans="1:19" x14ac:dyDescent="0.3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</row>
    <row r="62" spans="1:19" x14ac:dyDescent="0.3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</row>
    <row r="63" spans="1:19" x14ac:dyDescent="0.3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</row>
    <row r="64" spans="1:19" x14ac:dyDescent="0.3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</row>
    <row r="65" spans="1:19" x14ac:dyDescent="0.3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</row>
    <row r="66" spans="1:19" x14ac:dyDescent="0.3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</row>
    <row r="67" spans="1:19" x14ac:dyDescent="0.3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</row>
    <row r="68" spans="1:19" x14ac:dyDescent="0.3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</row>
    <row r="69" spans="1:19" x14ac:dyDescent="0.3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</row>
    <row r="70" spans="1:19" x14ac:dyDescent="0.3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</row>
    <row r="71" spans="1:19" x14ac:dyDescent="0.3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</row>
    <row r="72" spans="1:19" x14ac:dyDescent="0.3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</row>
    <row r="73" spans="1:19" x14ac:dyDescent="0.3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</row>
    <row r="74" spans="1:19" x14ac:dyDescent="0.3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</row>
    <row r="75" spans="1:19" x14ac:dyDescent="0.3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</row>
    <row r="76" spans="1:19" x14ac:dyDescent="0.3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</row>
    <row r="77" spans="1:19" x14ac:dyDescent="0.3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</row>
    <row r="78" spans="1:19" x14ac:dyDescent="0.3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</row>
    <row r="79" spans="1:19" x14ac:dyDescent="0.3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</row>
    <row r="80" spans="1:19" x14ac:dyDescent="0.3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</row>
    <row r="81" spans="1:19" x14ac:dyDescent="0.3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</row>
    <row r="82" spans="1:19" x14ac:dyDescent="0.3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</row>
    <row r="83" spans="1:19" x14ac:dyDescent="0.3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</row>
    <row r="84" spans="1:19" x14ac:dyDescent="0.3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</row>
    <row r="85" spans="1:19" x14ac:dyDescent="0.3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</row>
    <row r="86" spans="1:19" x14ac:dyDescent="0.3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</row>
    <row r="87" spans="1:19" x14ac:dyDescent="0.3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</row>
    <row r="88" spans="1:19" x14ac:dyDescent="0.3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</row>
    <row r="89" spans="1:19" x14ac:dyDescent="0.3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</row>
    <row r="90" spans="1:19" x14ac:dyDescent="0.3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</row>
    <row r="91" spans="1:19" x14ac:dyDescent="0.3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</row>
    <row r="92" spans="1:19" x14ac:dyDescent="0.3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</row>
    <row r="93" spans="1:19" x14ac:dyDescent="0.3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</row>
    <row r="94" spans="1:19" x14ac:dyDescent="0.3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</row>
    <row r="95" spans="1:19" x14ac:dyDescent="0.3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</row>
    <row r="96" spans="1:19" x14ac:dyDescent="0.3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</row>
    <row r="97" spans="1:19" x14ac:dyDescent="0.3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</row>
    <row r="98" spans="1:19" x14ac:dyDescent="0.3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</row>
    <row r="99" spans="1:19" x14ac:dyDescent="0.3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</row>
    <row r="100" spans="1:19" x14ac:dyDescent="0.3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</row>
    <row r="101" spans="1:19" x14ac:dyDescent="0.3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</row>
    <row r="102" spans="1:19" x14ac:dyDescent="0.3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</row>
    <row r="103" spans="1:19" x14ac:dyDescent="0.3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</row>
    <row r="104" spans="1:19" x14ac:dyDescent="0.3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</row>
    <row r="105" spans="1:19" x14ac:dyDescent="0.3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</row>
    <row r="106" spans="1:19" x14ac:dyDescent="0.3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</row>
    <row r="107" spans="1:19" x14ac:dyDescent="0.3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</row>
    <row r="108" spans="1:19" x14ac:dyDescent="0.3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</row>
    <row r="109" spans="1:19" x14ac:dyDescent="0.3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</row>
    <row r="110" spans="1:19" x14ac:dyDescent="0.3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</row>
    <row r="111" spans="1:19" x14ac:dyDescent="0.3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</row>
    <row r="112" spans="1:19" x14ac:dyDescent="0.3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</row>
    <row r="113" spans="1:19" x14ac:dyDescent="0.3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</row>
    <row r="114" spans="1:19" x14ac:dyDescent="0.3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</row>
    <row r="115" spans="1:19" x14ac:dyDescent="0.3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</row>
    <row r="116" spans="1:19" x14ac:dyDescent="0.3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</row>
    <row r="117" spans="1:19" x14ac:dyDescent="0.3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</row>
    <row r="118" spans="1:19" x14ac:dyDescent="0.3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</row>
    <row r="119" spans="1:19" x14ac:dyDescent="0.3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</row>
    <row r="120" spans="1:19" x14ac:dyDescent="0.3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</row>
    <row r="121" spans="1:19" x14ac:dyDescent="0.3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</row>
    <row r="122" spans="1:19" x14ac:dyDescent="0.3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</row>
    <row r="123" spans="1:19" x14ac:dyDescent="0.3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</row>
    <row r="124" spans="1:19" x14ac:dyDescent="0.3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</row>
    <row r="125" spans="1:19" x14ac:dyDescent="0.3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</row>
    <row r="126" spans="1:19" x14ac:dyDescent="0.3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</row>
    <row r="127" spans="1:19" x14ac:dyDescent="0.3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</row>
    <row r="128" spans="1:19" x14ac:dyDescent="0.3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</row>
    <row r="129" spans="1:19" x14ac:dyDescent="0.3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</row>
    <row r="130" spans="1:19" x14ac:dyDescent="0.3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</row>
    <row r="131" spans="1:19" x14ac:dyDescent="0.3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</row>
    <row r="132" spans="1:19" x14ac:dyDescent="0.3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</row>
    <row r="133" spans="1:19" x14ac:dyDescent="0.3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</row>
    <row r="134" spans="1:19" x14ac:dyDescent="0.3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</row>
    <row r="135" spans="1:19" x14ac:dyDescent="0.3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</row>
    <row r="136" spans="1:19" x14ac:dyDescent="0.3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</row>
    <row r="137" spans="1:19" x14ac:dyDescent="0.3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</row>
    <row r="138" spans="1:19" x14ac:dyDescent="0.3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</row>
    <row r="139" spans="1:19" x14ac:dyDescent="0.3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</row>
    <row r="140" spans="1:19" x14ac:dyDescent="0.3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</row>
    <row r="141" spans="1:19" x14ac:dyDescent="0.3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</row>
    <row r="142" spans="1:19" x14ac:dyDescent="0.3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</row>
    <row r="143" spans="1:19" x14ac:dyDescent="0.3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</row>
    <row r="144" spans="1:19" x14ac:dyDescent="0.3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</row>
    <row r="145" spans="1:19" x14ac:dyDescent="0.3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</row>
    <row r="146" spans="1:19" x14ac:dyDescent="0.3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</row>
    <row r="147" spans="1:19" x14ac:dyDescent="0.3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</row>
    <row r="148" spans="1:19" x14ac:dyDescent="0.3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</row>
    <row r="149" spans="1:19" x14ac:dyDescent="0.3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</row>
    <row r="150" spans="1:19" x14ac:dyDescent="0.3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</row>
    <row r="151" spans="1:19" x14ac:dyDescent="0.3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</row>
    <row r="152" spans="1:19" x14ac:dyDescent="0.3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</row>
    <row r="153" spans="1:19" x14ac:dyDescent="0.3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</row>
    <row r="154" spans="1:19" x14ac:dyDescent="0.3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</row>
    <row r="155" spans="1:19" x14ac:dyDescent="0.3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</row>
    <row r="156" spans="1:19" x14ac:dyDescent="0.3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</row>
    <row r="157" spans="1:19" x14ac:dyDescent="0.3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</row>
    <row r="158" spans="1:19" x14ac:dyDescent="0.3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</row>
    <row r="159" spans="1:19" x14ac:dyDescent="0.3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</row>
    <row r="160" spans="1:19" x14ac:dyDescent="0.3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</row>
    <row r="161" spans="1:19" x14ac:dyDescent="0.3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</row>
    <row r="162" spans="1:19" x14ac:dyDescent="0.3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</row>
    <row r="163" spans="1:19" x14ac:dyDescent="0.3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</row>
    <row r="164" spans="1:19" x14ac:dyDescent="0.3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</row>
    <row r="165" spans="1:19" x14ac:dyDescent="0.3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</row>
    <row r="166" spans="1:19" x14ac:dyDescent="0.3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</row>
    <row r="167" spans="1:19" x14ac:dyDescent="0.3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</row>
    <row r="168" spans="1:19" x14ac:dyDescent="0.3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</row>
    <row r="169" spans="1:19" x14ac:dyDescent="0.3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</row>
    <row r="170" spans="1:19" x14ac:dyDescent="0.3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</row>
    <row r="171" spans="1:19" x14ac:dyDescent="0.3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</row>
    <row r="172" spans="1:19" x14ac:dyDescent="0.3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</row>
    <row r="173" spans="1:19" x14ac:dyDescent="0.3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</row>
    <row r="174" spans="1:19" x14ac:dyDescent="0.3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</row>
    <row r="175" spans="1:19" x14ac:dyDescent="0.3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</row>
    <row r="176" spans="1:19" x14ac:dyDescent="0.3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</row>
    <row r="177" spans="1:19" x14ac:dyDescent="0.3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</row>
    <row r="178" spans="1:19" x14ac:dyDescent="0.3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</row>
    <row r="179" spans="1:19" x14ac:dyDescent="0.3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</row>
    <row r="180" spans="1:19" x14ac:dyDescent="0.3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</row>
    <row r="181" spans="1:19" x14ac:dyDescent="0.3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</row>
    <row r="182" spans="1:19" x14ac:dyDescent="0.3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</row>
    <row r="183" spans="1:19" x14ac:dyDescent="0.3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</row>
    <row r="184" spans="1:19" x14ac:dyDescent="0.3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</row>
    <row r="185" spans="1:19" x14ac:dyDescent="0.3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</row>
    <row r="186" spans="1:19" x14ac:dyDescent="0.3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</row>
    <row r="187" spans="1:19" x14ac:dyDescent="0.3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</row>
    <row r="188" spans="1:19" x14ac:dyDescent="0.3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</row>
    <row r="189" spans="1:19" x14ac:dyDescent="0.3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</row>
    <row r="190" spans="1:19" x14ac:dyDescent="0.3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</row>
    <row r="191" spans="1:19" x14ac:dyDescent="0.3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</row>
    <row r="192" spans="1:19" x14ac:dyDescent="0.3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</row>
    <row r="193" spans="1:19" x14ac:dyDescent="0.3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</row>
    <row r="194" spans="1:19" x14ac:dyDescent="0.3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</row>
    <row r="195" spans="1:19" x14ac:dyDescent="0.3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</row>
    <row r="196" spans="1:19" x14ac:dyDescent="0.3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</row>
    <row r="197" spans="1:19" x14ac:dyDescent="0.3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</row>
    <row r="198" spans="1:19" x14ac:dyDescent="0.3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</row>
    <row r="199" spans="1:19" x14ac:dyDescent="0.3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</row>
    <row r="200" spans="1:19" x14ac:dyDescent="0.3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</row>
    <row r="201" spans="1:19" x14ac:dyDescent="0.3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</row>
    <row r="202" spans="1:19" x14ac:dyDescent="0.3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</row>
    <row r="203" spans="1:19" x14ac:dyDescent="0.3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</row>
    <row r="204" spans="1:19" x14ac:dyDescent="0.3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</row>
    <row r="205" spans="1:19" x14ac:dyDescent="0.3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</row>
    <row r="206" spans="1:19" x14ac:dyDescent="0.3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</row>
    <row r="207" spans="1:19" x14ac:dyDescent="0.3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</row>
    <row r="208" spans="1:19" x14ac:dyDescent="0.3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</row>
    <row r="209" spans="1:19" x14ac:dyDescent="0.3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</row>
    <row r="210" spans="1:19" x14ac:dyDescent="0.3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</row>
    <row r="211" spans="1:19" x14ac:dyDescent="0.3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</row>
    <row r="212" spans="1:19" x14ac:dyDescent="0.3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</row>
    <row r="213" spans="1:19" x14ac:dyDescent="0.3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</row>
    <row r="214" spans="1:19" x14ac:dyDescent="0.3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</row>
    <row r="215" spans="1:19" x14ac:dyDescent="0.3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</row>
    <row r="216" spans="1:19" x14ac:dyDescent="0.3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</row>
    <row r="217" spans="1:19" x14ac:dyDescent="0.3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</row>
    <row r="218" spans="1:19" x14ac:dyDescent="0.3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</row>
    <row r="219" spans="1:19" x14ac:dyDescent="0.3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</row>
    <row r="220" spans="1:19" x14ac:dyDescent="0.3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</row>
    <row r="221" spans="1:19" x14ac:dyDescent="0.3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</row>
    <row r="222" spans="1:19" x14ac:dyDescent="0.3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</row>
    <row r="223" spans="1:19" x14ac:dyDescent="0.3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</row>
    <row r="224" spans="1:19" x14ac:dyDescent="0.3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</row>
    <row r="225" spans="1:19" x14ac:dyDescent="0.3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</row>
    <row r="226" spans="1:19" x14ac:dyDescent="0.3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</row>
    <row r="227" spans="1:19" x14ac:dyDescent="0.3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</row>
    <row r="228" spans="1:19" x14ac:dyDescent="0.3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</row>
    <row r="229" spans="1:19" x14ac:dyDescent="0.3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</row>
    <row r="230" spans="1:19" x14ac:dyDescent="0.3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</row>
    <row r="231" spans="1:19" x14ac:dyDescent="0.3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</row>
    <row r="232" spans="1:19" x14ac:dyDescent="0.3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</row>
    <row r="233" spans="1:19" x14ac:dyDescent="0.3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</row>
    <row r="234" spans="1:19" x14ac:dyDescent="0.3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</row>
    <row r="235" spans="1:19" x14ac:dyDescent="0.3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</row>
    <row r="236" spans="1:19" x14ac:dyDescent="0.3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</row>
    <row r="237" spans="1:19" x14ac:dyDescent="0.3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</row>
    <row r="238" spans="1:19" x14ac:dyDescent="0.3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</row>
    <row r="239" spans="1:19" x14ac:dyDescent="0.3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</row>
    <row r="240" spans="1:19" x14ac:dyDescent="0.3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</row>
    <row r="241" spans="1:19" x14ac:dyDescent="0.3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</row>
    <row r="242" spans="1:19" x14ac:dyDescent="0.3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</row>
    <row r="243" spans="1:19" x14ac:dyDescent="0.3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</row>
    <row r="244" spans="1:19" x14ac:dyDescent="0.3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 x14ac:dyDescent="0.3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</row>
    <row r="246" spans="1:19" x14ac:dyDescent="0.3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</row>
    <row r="247" spans="1:19" x14ac:dyDescent="0.3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</row>
    <row r="248" spans="1:19" x14ac:dyDescent="0.3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</row>
    <row r="249" spans="1:19" x14ac:dyDescent="0.3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</row>
    <row r="250" spans="1:19" x14ac:dyDescent="0.3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</row>
    <row r="251" spans="1:19" x14ac:dyDescent="0.3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</row>
    <row r="252" spans="1:19" x14ac:dyDescent="0.3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</row>
    <row r="253" spans="1:19" x14ac:dyDescent="0.3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</row>
    <row r="254" spans="1:19" x14ac:dyDescent="0.3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</row>
    <row r="255" spans="1:19" x14ac:dyDescent="0.3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</row>
    <row r="256" spans="1:19" x14ac:dyDescent="0.3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</row>
    <row r="257" spans="1:19" x14ac:dyDescent="0.3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</row>
    <row r="258" spans="1:19" x14ac:dyDescent="0.3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</row>
    <row r="259" spans="1:19" x14ac:dyDescent="0.3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</row>
    <row r="260" spans="1:19" x14ac:dyDescent="0.3">
      <c r="A260" s="56"/>
      <c r="B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</row>
  </sheetData>
  <sheetProtection selectLockedCells="1"/>
  <mergeCells count="1">
    <mergeCell ref="A1:E1"/>
  </mergeCells>
  <pageMargins left="0.7" right="0.7" top="0.75" bottom="0.75" header="0.3" footer="0.3"/>
  <pageSetup scale="1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I58"/>
  <sheetViews>
    <sheetView topLeftCell="K1" workbookViewId="0">
      <selection activeCell="O21" sqref="O21"/>
    </sheetView>
  </sheetViews>
  <sheetFormatPr defaultColWidth="9.21875" defaultRowHeight="14.4" x14ac:dyDescent="0.3"/>
  <cols>
    <col min="5" max="6" width="9.21875" customWidth="1"/>
    <col min="7" max="7" width="20.5546875" bestFit="1" customWidth="1"/>
    <col min="8" max="8" width="25" bestFit="1" customWidth="1"/>
    <col min="9" max="9" width="13.5546875" bestFit="1" customWidth="1"/>
    <col min="10" max="10" width="2.88671875" customWidth="1"/>
    <col min="11" max="11" width="5.5546875" customWidth="1"/>
    <col min="18" max="18" width="16.109375" bestFit="1" customWidth="1"/>
    <col min="19" max="19" width="16.5546875" bestFit="1" customWidth="1"/>
    <col min="20" max="20" width="23.77734375" bestFit="1" customWidth="1"/>
    <col min="21" max="21" width="14.21875" customWidth="1"/>
    <col min="22" max="22" width="13.77734375" customWidth="1"/>
    <col min="23" max="23" width="2.88671875" customWidth="1"/>
    <col min="24" max="24" width="5.6640625" customWidth="1"/>
    <col min="31" max="31" width="16.109375" bestFit="1" customWidth="1"/>
    <col min="32" max="32" width="16.5546875" bestFit="1" customWidth="1"/>
    <col min="33" max="33" width="23.77734375" bestFit="1" customWidth="1"/>
    <col min="34" max="34" width="13.33203125" customWidth="1"/>
    <col min="35" max="35" width="13.109375" customWidth="1"/>
  </cols>
  <sheetData>
    <row r="1" spans="1:35" x14ac:dyDescent="0.3">
      <c r="A1" s="1" t="s">
        <v>1392</v>
      </c>
      <c r="L1" s="1" t="s">
        <v>1393</v>
      </c>
      <c r="Y1" s="1" t="s">
        <v>1394</v>
      </c>
    </row>
    <row r="2" spans="1:35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"/>
      <c r="L2" s="1" t="s">
        <v>0</v>
      </c>
      <c r="M2" s="1" t="s">
        <v>1</v>
      </c>
      <c r="N2" s="1" t="s">
        <v>2</v>
      </c>
      <c r="O2" s="1" t="s">
        <v>86</v>
      </c>
      <c r="P2" s="1" t="s">
        <v>1391</v>
      </c>
      <c r="Q2" s="1" t="s">
        <v>3</v>
      </c>
      <c r="R2" s="1" t="s">
        <v>4</v>
      </c>
      <c r="S2" s="1" t="s">
        <v>5</v>
      </c>
      <c r="T2" s="1" t="s">
        <v>6</v>
      </c>
      <c r="U2" s="1" t="s">
        <v>7</v>
      </c>
      <c r="V2" s="1" t="s">
        <v>8</v>
      </c>
      <c r="W2" s="2"/>
      <c r="Y2" s="1" t="s">
        <v>0</v>
      </c>
      <c r="Z2" s="1" t="s">
        <v>1</v>
      </c>
      <c r="AA2" s="1" t="s">
        <v>2</v>
      </c>
      <c r="AB2" s="1" t="s">
        <v>86</v>
      </c>
      <c r="AC2" s="1" t="s">
        <v>1391</v>
      </c>
      <c r="AD2" s="1" t="s">
        <v>3</v>
      </c>
      <c r="AE2" s="1" t="s">
        <v>4</v>
      </c>
      <c r="AF2" s="1" t="s">
        <v>5</v>
      </c>
      <c r="AG2" s="1" t="s">
        <v>6</v>
      </c>
      <c r="AH2" s="1" t="s">
        <v>7</v>
      </c>
      <c r="AI2" s="1" t="s">
        <v>8</v>
      </c>
    </row>
    <row r="3" spans="1:35" x14ac:dyDescent="0.3">
      <c r="A3">
        <v>1</v>
      </c>
      <c r="B3" s="3">
        <f t="shared" ref="B3:B42" si="0">C3/1000</f>
        <v>0.02</v>
      </c>
      <c r="C3">
        <v>20</v>
      </c>
      <c r="D3">
        <v>153</v>
      </c>
      <c r="E3" s="69">
        <v>0.50890000000000002</v>
      </c>
      <c r="F3" s="4" t="s">
        <v>10</v>
      </c>
      <c r="G3" t="s">
        <v>11</v>
      </c>
      <c r="H3" s="5">
        <v>45413</v>
      </c>
      <c r="I3" s="5">
        <v>51501</v>
      </c>
      <c r="J3" s="2"/>
      <c r="L3">
        <v>2</v>
      </c>
      <c r="M3" s="3">
        <f t="shared" ref="M3" si="1">N3/1000</f>
        <v>0.375</v>
      </c>
      <c r="N3">
        <v>375</v>
      </c>
      <c r="O3" s="149">
        <v>0.75</v>
      </c>
      <c r="P3" s="149">
        <v>750</v>
      </c>
      <c r="Q3">
        <v>153</v>
      </c>
      <c r="R3" s="150">
        <v>16.133299999999998</v>
      </c>
      <c r="S3" s="4" t="s">
        <v>87</v>
      </c>
      <c r="T3" t="s">
        <v>88</v>
      </c>
      <c r="U3" s="5">
        <v>45413</v>
      </c>
      <c r="V3" s="5">
        <v>51501</v>
      </c>
      <c r="W3" s="2"/>
      <c r="Z3" s="3"/>
      <c r="AB3" s="149"/>
      <c r="AC3" s="149"/>
      <c r="AE3" s="150"/>
      <c r="AF3" s="4"/>
      <c r="AH3" s="5"/>
      <c r="AI3" s="5"/>
    </row>
    <row r="4" spans="1:35" x14ac:dyDescent="0.3">
      <c r="A4">
        <v>1</v>
      </c>
      <c r="B4" s="3">
        <f t="shared" si="0"/>
        <v>2.9000000000000001E-2</v>
      </c>
      <c r="C4">
        <v>29</v>
      </c>
      <c r="D4">
        <v>153</v>
      </c>
      <c r="E4" s="69">
        <v>0.7369</v>
      </c>
      <c r="F4" s="4" t="s">
        <v>12</v>
      </c>
      <c r="G4" t="s">
        <v>13</v>
      </c>
      <c r="H4" s="5">
        <v>45413</v>
      </c>
      <c r="I4" s="5">
        <v>51501</v>
      </c>
      <c r="J4" s="2"/>
      <c r="L4">
        <v>3</v>
      </c>
      <c r="M4" s="3">
        <f>N4/1000</f>
        <v>0.02</v>
      </c>
      <c r="N4">
        <v>20</v>
      </c>
      <c r="O4" s="149">
        <v>0.06</v>
      </c>
      <c r="P4" s="149">
        <v>60</v>
      </c>
      <c r="Q4">
        <v>153</v>
      </c>
      <c r="R4" s="150">
        <v>1.5266</v>
      </c>
      <c r="S4" s="4" t="s">
        <v>93</v>
      </c>
      <c r="T4" t="s">
        <v>94</v>
      </c>
      <c r="U4" s="5">
        <v>45413</v>
      </c>
      <c r="V4" s="5">
        <v>51501</v>
      </c>
      <c r="W4" s="2"/>
      <c r="Y4">
        <v>3</v>
      </c>
      <c r="Z4" s="3">
        <f t="shared" ref="Z4:Z10" si="2">AA4/1000</f>
        <v>0.04</v>
      </c>
      <c r="AA4">
        <v>40</v>
      </c>
      <c r="AB4" s="149">
        <v>0.12</v>
      </c>
      <c r="AC4" s="149">
        <v>120</v>
      </c>
      <c r="AD4">
        <v>153</v>
      </c>
      <c r="AE4" s="150">
        <v>3.0531000000000001</v>
      </c>
      <c r="AF4" s="4" t="s">
        <v>101</v>
      </c>
      <c r="AG4" t="s">
        <v>102</v>
      </c>
      <c r="AH4" s="5">
        <v>45413</v>
      </c>
      <c r="AI4" s="5">
        <v>51501</v>
      </c>
    </row>
    <row r="5" spans="1:35" x14ac:dyDescent="0.3">
      <c r="A5">
        <v>1</v>
      </c>
      <c r="B5" s="3">
        <f t="shared" si="0"/>
        <v>0.03</v>
      </c>
      <c r="C5">
        <v>30</v>
      </c>
      <c r="D5">
        <v>153</v>
      </c>
      <c r="E5" s="69">
        <v>0.7631</v>
      </c>
      <c r="F5" s="4" t="s">
        <v>14</v>
      </c>
      <c r="G5" t="s">
        <v>15</v>
      </c>
      <c r="H5" s="5">
        <v>45413</v>
      </c>
      <c r="I5" s="5">
        <v>51501</v>
      </c>
      <c r="J5" s="2"/>
      <c r="L5">
        <v>3</v>
      </c>
      <c r="M5" s="3">
        <f>N5/1000</f>
        <v>0.2</v>
      </c>
      <c r="N5">
        <v>200</v>
      </c>
      <c r="O5" s="149">
        <v>0.60000000000000009</v>
      </c>
      <c r="P5" s="149">
        <v>600.00000000000011</v>
      </c>
      <c r="Q5">
        <v>153</v>
      </c>
      <c r="R5" s="150">
        <v>13.1723</v>
      </c>
      <c r="S5" s="4" t="s">
        <v>95</v>
      </c>
      <c r="T5" t="s">
        <v>96</v>
      </c>
      <c r="U5" s="5">
        <v>45413</v>
      </c>
      <c r="V5" s="5">
        <v>51501</v>
      </c>
      <c r="W5" s="2"/>
      <c r="Y5">
        <v>3</v>
      </c>
      <c r="Z5" s="3">
        <f t="shared" si="2"/>
        <v>0.05</v>
      </c>
      <c r="AA5">
        <v>50</v>
      </c>
      <c r="AB5" s="149">
        <v>0.15000000000000002</v>
      </c>
      <c r="AC5" s="149">
        <v>150</v>
      </c>
      <c r="AD5">
        <v>153</v>
      </c>
      <c r="AE5" s="150">
        <v>3.8169</v>
      </c>
      <c r="AF5" s="4" t="s">
        <v>103</v>
      </c>
      <c r="AG5" t="s">
        <v>104</v>
      </c>
      <c r="AH5" s="5">
        <v>45413</v>
      </c>
      <c r="AI5" s="5">
        <v>51501</v>
      </c>
    </row>
    <row r="6" spans="1:35" x14ac:dyDescent="0.3">
      <c r="A6">
        <v>1</v>
      </c>
      <c r="B6" s="3">
        <f t="shared" si="0"/>
        <v>0.04</v>
      </c>
      <c r="C6">
        <v>40</v>
      </c>
      <c r="D6">
        <v>153</v>
      </c>
      <c r="E6" s="69">
        <v>1.0175000000000001</v>
      </c>
      <c r="F6" s="4" t="s">
        <v>16</v>
      </c>
      <c r="G6" t="s">
        <v>17</v>
      </c>
      <c r="H6" s="5">
        <v>45413</v>
      </c>
      <c r="I6" s="5">
        <v>51501</v>
      </c>
      <c r="J6" s="2"/>
      <c r="L6">
        <v>3</v>
      </c>
      <c r="M6" s="3">
        <f>N6/1000</f>
        <v>0.375</v>
      </c>
      <c r="N6">
        <v>375</v>
      </c>
      <c r="O6" s="149">
        <v>1.125</v>
      </c>
      <c r="P6" s="149">
        <v>1125</v>
      </c>
      <c r="Q6">
        <v>153</v>
      </c>
      <c r="R6" s="150">
        <v>24.200500000000002</v>
      </c>
      <c r="S6" s="4" t="s">
        <v>97</v>
      </c>
      <c r="T6" t="s">
        <v>98</v>
      </c>
      <c r="U6" s="5">
        <v>45413</v>
      </c>
      <c r="V6" s="5">
        <v>51501</v>
      </c>
      <c r="W6" s="2"/>
      <c r="Y6">
        <v>4</v>
      </c>
      <c r="Z6" s="3">
        <f t="shared" si="2"/>
        <v>0.2</v>
      </c>
      <c r="AA6">
        <v>200</v>
      </c>
      <c r="AB6" s="149">
        <v>0.8</v>
      </c>
      <c r="AC6" s="149">
        <v>800</v>
      </c>
      <c r="AD6">
        <v>153</v>
      </c>
      <c r="AE6" s="150">
        <v>17.563700000000001</v>
      </c>
      <c r="AF6" s="4" t="s">
        <v>115</v>
      </c>
      <c r="AG6" t="s">
        <v>116</v>
      </c>
      <c r="AH6" s="5">
        <v>45413</v>
      </c>
      <c r="AI6" s="5">
        <v>51501</v>
      </c>
    </row>
    <row r="7" spans="1:35" x14ac:dyDescent="0.3">
      <c r="A7">
        <v>1</v>
      </c>
      <c r="B7" s="3">
        <f t="shared" si="0"/>
        <v>0.05</v>
      </c>
      <c r="C7">
        <v>50</v>
      </c>
      <c r="D7">
        <v>153</v>
      </c>
      <c r="E7" s="69">
        <v>1.2723</v>
      </c>
      <c r="F7" s="4" t="s">
        <v>18</v>
      </c>
      <c r="G7" t="s">
        <v>19</v>
      </c>
      <c r="H7" s="5">
        <v>45413</v>
      </c>
      <c r="I7" s="5">
        <v>51501</v>
      </c>
      <c r="J7" s="2"/>
      <c r="L7">
        <v>20</v>
      </c>
      <c r="M7" s="3">
        <v>0.05</v>
      </c>
      <c r="N7">
        <v>50</v>
      </c>
      <c r="O7" s="149">
        <v>1</v>
      </c>
      <c r="P7" s="149">
        <v>1000</v>
      </c>
      <c r="Q7">
        <v>153</v>
      </c>
      <c r="R7" s="89">
        <v>25.444800000000001</v>
      </c>
      <c r="S7" t="s">
        <v>1225</v>
      </c>
      <c r="T7" s="69" t="s">
        <v>1276</v>
      </c>
      <c r="U7" s="5">
        <v>45413</v>
      </c>
      <c r="V7" s="5">
        <v>51501</v>
      </c>
      <c r="W7" s="2"/>
      <c r="Y7">
        <v>5</v>
      </c>
      <c r="Z7" s="3">
        <f t="shared" si="2"/>
        <v>0.2</v>
      </c>
      <c r="AA7">
        <v>200</v>
      </c>
      <c r="AB7" s="149">
        <v>1</v>
      </c>
      <c r="AC7" s="149">
        <v>1000</v>
      </c>
      <c r="AD7">
        <v>153</v>
      </c>
      <c r="AE7" s="150">
        <v>21.955100000000002</v>
      </c>
      <c r="AF7" s="4" t="s">
        <v>119</v>
      </c>
      <c r="AG7" t="s">
        <v>120</v>
      </c>
      <c r="AH7" s="5">
        <v>45413</v>
      </c>
      <c r="AI7" s="5">
        <v>51501</v>
      </c>
    </row>
    <row r="8" spans="1:35" x14ac:dyDescent="0.3">
      <c r="A8">
        <v>1</v>
      </c>
      <c r="B8" s="3">
        <f t="shared" si="0"/>
        <v>0.1</v>
      </c>
      <c r="C8">
        <v>100</v>
      </c>
      <c r="D8">
        <v>153</v>
      </c>
      <c r="E8" s="69">
        <v>2.5442</v>
      </c>
      <c r="F8" s="4" t="s">
        <v>20</v>
      </c>
      <c r="G8" t="s">
        <v>21</v>
      </c>
      <c r="H8" s="5">
        <v>45413</v>
      </c>
      <c r="I8" s="5">
        <v>51501</v>
      </c>
      <c r="J8" s="2"/>
      <c r="L8">
        <v>4</v>
      </c>
      <c r="M8" s="3">
        <f t="shared" ref="M8:M18" si="3">N8/1000</f>
        <v>0.2</v>
      </c>
      <c r="N8">
        <v>200</v>
      </c>
      <c r="O8" s="149">
        <v>0.8</v>
      </c>
      <c r="P8" s="149">
        <v>800</v>
      </c>
      <c r="Q8">
        <v>153</v>
      </c>
      <c r="R8" s="150">
        <v>17.563700000000001</v>
      </c>
      <c r="S8" s="4" t="s">
        <v>105</v>
      </c>
      <c r="T8" t="s">
        <v>106</v>
      </c>
      <c r="U8" s="5">
        <v>45413</v>
      </c>
      <c r="V8" s="5">
        <v>51501</v>
      </c>
      <c r="W8" s="2"/>
      <c r="Y8">
        <v>5</v>
      </c>
      <c r="Z8" s="3">
        <f t="shared" si="2"/>
        <v>0.05</v>
      </c>
      <c r="AA8">
        <v>50</v>
      </c>
      <c r="AB8" s="149">
        <v>0.25</v>
      </c>
      <c r="AC8" s="149">
        <v>250</v>
      </c>
      <c r="AD8">
        <v>153</v>
      </c>
      <c r="AE8" s="150">
        <v>6.8052000000000001</v>
      </c>
      <c r="AF8" s="4" t="s">
        <v>121</v>
      </c>
      <c r="AG8" t="s">
        <v>122</v>
      </c>
      <c r="AH8" s="5">
        <v>45413</v>
      </c>
      <c r="AI8" s="5">
        <v>51501</v>
      </c>
    </row>
    <row r="9" spans="1:35" x14ac:dyDescent="0.3">
      <c r="A9">
        <v>1</v>
      </c>
      <c r="B9" s="3">
        <v>0.12</v>
      </c>
      <c r="C9">
        <v>120</v>
      </c>
      <c r="D9">
        <v>153</v>
      </c>
      <c r="E9" s="69">
        <v>3.0529999999999999</v>
      </c>
      <c r="F9" s="4" t="s">
        <v>1242</v>
      </c>
      <c r="G9" t="s">
        <v>1294</v>
      </c>
      <c r="H9" s="5">
        <v>45413</v>
      </c>
      <c r="I9" s="5">
        <v>51501</v>
      </c>
      <c r="J9" s="2"/>
      <c r="L9">
        <v>4</v>
      </c>
      <c r="M9" s="3">
        <f t="shared" si="3"/>
        <v>2.5000000000000001E-2</v>
      </c>
      <c r="N9">
        <v>25</v>
      </c>
      <c r="O9" s="149">
        <v>0.1</v>
      </c>
      <c r="P9" s="149">
        <v>100</v>
      </c>
      <c r="Q9">
        <v>153</v>
      </c>
      <c r="R9" s="150">
        <v>2.5442</v>
      </c>
      <c r="S9" s="4" t="s">
        <v>107</v>
      </c>
      <c r="T9" t="s">
        <v>108</v>
      </c>
      <c r="U9" s="5">
        <v>45413</v>
      </c>
      <c r="V9" s="5">
        <v>51501</v>
      </c>
      <c r="W9" s="2"/>
      <c r="Y9">
        <v>6</v>
      </c>
      <c r="Z9" s="3">
        <f t="shared" si="2"/>
        <v>0.05</v>
      </c>
      <c r="AA9">
        <v>50</v>
      </c>
      <c r="AB9" s="149">
        <v>0.30000000000000004</v>
      </c>
      <c r="AC9" s="149">
        <v>300</v>
      </c>
      <c r="AD9">
        <v>153</v>
      </c>
      <c r="AE9" s="150">
        <v>7.6337000000000002</v>
      </c>
      <c r="AF9" s="4" t="s">
        <v>125</v>
      </c>
      <c r="AG9" t="s">
        <v>126</v>
      </c>
      <c r="AH9" s="5">
        <v>45413</v>
      </c>
      <c r="AI9" s="5">
        <v>51501</v>
      </c>
    </row>
    <row r="10" spans="1:35" x14ac:dyDescent="0.3">
      <c r="A10">
        <v>1</v>
      </c>
      <c r="B10" s="3">
        <v>0.15</v>
      </c>
      <c r="C10">
        <v>150</v>
      </c>
      <c r="D10">
        <v>153</v>
      </c>
      <c r="E10" s="69">
        <v>3.8166000000000002</v>
      </c>
      <c r="F10" s="4" t="s">
        <v>1224</v>
      </c>
      <c r="G10" t="s">
        <v>1275</v>
      </c>
      <c r="H10" s="5">
        <v>45413</v>
      </c>
      <c r="I10" s="5">
        <v>51501</v>
      </c>
      <c r="J10" s="2"/>
      <c r="L10">
        <v>4</v>
      </c>
      <c r="M10" s="3">
        <f t="shared" si="3"/>
        <v>0.03</v>
      </c>
      <c r="N10">
        <v>30</v>
      </c>
      <c r="O10" s="149">
        <v>0.12</v>
      </c>
      <c r="P10" s="149">
        <v>120</v>
      </c>
      <c r="Q10">
        <v>153</v>
      </c>
      <c r="R10" s="150">
        <v>3.0531000000000001</v>
      </c>
      <c r="S10" s="4" t="s">
        <v>109</v>
      </c>
      <c r="T10" t="s">
        <v>110</v>
      </c>
      <c r="U10" s="5">
        <v>45413</v>
      </c>
      <c r="V10" s="5">
        <v>51501</v>
      </c>
      <c r="W10" s="2"/>
      <c r="Y10">
        <v>25</v>
      </c>
      <c r="Z10" s="3">
        <f t="shared" si="2"/>
        <v>0.05</v>
      </c>
      <c r="AA10">
        <v>50</v>
      </c>
      <c r="AB10" s="149">
        <v>1.25</v>
      </c>
      <c r="AC10" s="149">
        <v>1250</v>
      </c>
      <c r="AD10">
        <v>153</v>
      </c>
      <c r="AE10" s="150">
        <v>31.805499999999999</v>
      </c>
      <c r="AF10" s="4" t="s">
        <v>137</v>
      </c>
      <c r="AG10" t="s">
        <v>138</v>
      </c>
      <c r="AH10" s="5">
        <v>45413</v>
      </c>
      <c r="AI10" s="5">
        <v>51501</v>
      </c>
    </row>
    <row r="11" spans="1:35" x14ac:dyDescent="0.3">
      <c r="A11">
        <v>1</v>
      </c>
      <c r="B11" s="3">
        <f t="shared" si="0"/>
        <v>0.2</v>
      </c>
      <c r="C11">
        <v>200</v>
      </c>
      <c r="D11">
        <v>153</v>
      </c>
      <c r="E11" s="69">
        <v>4.391</v>
      </c>
      <c r="F11" s="4" t="s">
        <v>22</v>
      </c>
      <c r="G11" t="s">
        <v>23</v>
      </c>
      <c r="H11" s="5">
        <v>45413</v>
      </c>
      <c r="I11" s="5">
        <v>51501</v>
      </c>
      <c r="J11" s="2"/>
      <c r="L11">
        <v>4</v>
      </c>
      <c r="M11" s="3">
        <f t="shared" si="3"/>
        <v>0.05</v>
      </c>
      <c r="N11">
        <v>50</v>
      </c>
      <c r="O11" s="149">
        <v>0.2</v>
      </c>
      <c r="P11" s="149">
        <v>200</v>
      </c>
      <c r="Q11">
        <v>153</v>
      </c>
      <c r="R11" s="150">
        <v>5.0891000000000002</v>
      </c>
      <c r="S11" s="4" t="s">
        <v>111</v>
      </c>
      <c r="T11" t="s">
        <v>112</v>
      </c>
      <c r="U11" s="5">
        <v>45413</v>
      </c>
      <c r="V11" s="5">
        <v>51501</v>
      </c>
      <c r="W11" s="2"/>
      <c r="Y11">
        <v>4</v>
      </c>
      <c r="Z11">
        <v>0.1</v>
      </c>
      <c r="AA11">
        <v>100</v>
      </c>
      <c r="AB11" s="149">
        <v>0.4</v>
      </c>
      <c r="AC11" s="149">
        <v>400</v>
      </c>
      <c r="AD11">
        <v>153</v>
      </c>
      <c r="AE11" s="150">
        <v>10.1769</v>
      </c>
      <c r="AF11" t="s">
        <v>821</v>
      </c>
      <c r="AG11" t="s">
        <v>822</v>
      </c>
      <c r="AH11" s="5">
        <v>45413</v>
      </c>
      <c r="AI11" s="5">
        <v>51501</v>
      </c>
    </row>
    <row r="12" spans="1:35" x14ac:dyDescent="0.3">
      <c r="A12">
        <v>1</v>
      </c>
      <c r="B12" s="3">
        <f t="shared" si="0"/>
        <v>0.25</v>
      </c>
      <c r="C12">
        <v>250</v>
      </c>
      <c r="D12">
        <v>153</v>
      </c>
      <c r="E12" s="69">
        <v>5.4886999999999997</v>
      </c>
      <c r="F12" s="4" t="s">
        <v>24</v>
      </c>
      <c r="G12" t="s">
        <v>25</v>
      </c>
      <c r="H12" s="5">
        <v>45413</v>
      </c>
      <c r="I12" s="5">
        <v>51501</v>
      </c>
      <c r="J12" s="2"/>
      <c r="L12">
        <v>4</v>
      </c>
      <c r="M12" s="3">
        <f t="shared" si="3"/>
        <v>7.0000000000000007E-2</v>
      </c>
      <c r="N12">
        <v>70</v>
      </c>
      <c r="O12" s="149">
        <v>0.28000000000000003</v>
      </c>
      <c r="P12" s="149">
        <v>280</v>
      </c>
      <c r="Q12">
        <v>153</v>
      </c>
      <c r="R12" s="150">
        <v>7.2533000000000003</v>
      </c>
      <c r="S12" s="4" t="s">
        <v>113</v>
      </c>
      <c r="T12" t="s">
        <v>114</v>
      </c>
      <c r="U12" s="5">
        <v>45413</v>
      </c>
      <c r="V12" s="5">
        <v>51501</v>
      </c>
      <c r="W12" s="2"/>
      <c r="Y12">
        <v>4</v>
      </c>
      <c r="Z12">
        <v>0.05</v>
      </c>
      <c r="AA12">
        <v>50</v>
      </c>
      <c r="AB12" s="149">
        <v>0.2</v>
      </c>
      <c r="AC12" s="149">
        <v>200</v>
      </c>
      <c r="AD12">
        <v>153</v>
      </c>
      <c r="AE12" s="150">
        <v>5.0888999999999998</v>
      </c>
      <c r="AF12" t="s">
        <v>823</v>
      </c>
      <c r="AG12" t="s">
        <v>824</v>
      </c>
      <c r="AH12" s="5">
        <v>45413</v>
      </c>
      <c r="AI12" s="5">
        <v>51501</v>
      </c>
    </row>
    <row r="13" spans="1:35" x14ac:dyDescent="0.3">
      <c r="A13">
        <v>1</v>
      </c>
      <c r="B13" s="3">
        <f t="shared" si="0"/>
        <v>0.3</v>
      </c>
      <c r="C13">
        <v>300</v>
      </c>
      <c r="D13">
        <v>153</v>
      </c>
      <c r="E13" s="69">
        <v>6.5858999999999996</v>
      </c>
      <c r="F13" s="4" t="s">
        <v>26</v>
      </c>
      <c r="G13" t="s">
        <v>27</v>
      </c>
      <c r="H13" s="5">
        <v>45413</v>
      </c>
      <c r="I13" s="5">
        <v>51501</v>
      </c>
      <c r="J13" s="2"/>
      <c r="L13">
        <v>5</v>
      </c>
      <c r="M13" s="3">
        <f t="shared" si="3"/>
        <v>0.05</v>
      </c>
      <c r="N13">
        <v>50</v>
      </c>
      <c r="O13" s="149">
        <v>0.25</v>
      </c>
      <c r="P13" s="149">
        <v>250</v>
      </c>
      <c r="Q13">
        <v>153</v>
      </c>
      <c r="R13" s="150">
        <v>6.3613</v>
      </c>
      <c r="S13" s="4" t="s">
        <v>117</v>
      </c>
      <c r="T13" t="s">
        <v>118</v>
      </c>
      <c r="U13" s="5">
        <v>45413</v>
      </c>
      <c r="V13" s="5">
        <v>51501</v>
      </c>
      <c r="W13" s="2"/>
      <c r="Y13">
        <v>2</v>
      </c>
      <c r="Z13" s="3">
        <v>0.375</v>
      </c>
      <c r="AA13">
        <v>375</v>
      </c>
      <c r="AB13" s="149">
        <v>0.75</v>
      </c>
      <c r="AC13" s="149">
        <v>750</v>
      </c>
      <c r="AD13">
        <v>153</v>
      </c>
      <c r="AE13" s="150">
        <v>16.136399999999998</v>
      </c>
      <c r="AF13" s="4" t="s">
        <v>91</v>
      </c>
      <c r="AG13" t="s">
        <v>92</v>
      </c>
      <c r="AH13" s="5">
        <v>45413</v>
      </c>
      <c r="AI13" s="5">
        <v>51501</v>
      </c>
    </row>
    <row r="14" spans="1:35" x14ac:dyDescent="0.3">
      <c r="A14">
        <v>1</v>
      </c>
      <c r="B14" s="3">
        <f t="shared" si="0"/>
        <v>0.34100000000000003</v>
      </c>
      <c r="C14">
        <v>341</v>
      </c>
      <c r="D14">
        <v>153</v>
      </c>
      <c r="E14" s="69">
        <v>7.4863</v>
      </c>
      <c r="F14" s="4" t="s">
        <v>28</v>
      </c>
      <c r="G14" t="s">
        <v>29</v>
      </c>
      <c r="H14" s="5">
        <v>45413</v>
      </c>
      <c r="I14" s="5">
        <v>51501</v>
      </c>
      <c r="J14" s="2"/>
      <c r="L14">
        <v>6</v>
      </c>
      <c r="M14" s="3">
        <f t="shared" si="3"/>
        <v>0.03</v>
      </c>
      <c r="N14">
        <v>30</v>
      </c>
      <c r="O14" s="149">
        <v>0.18</v>
      </c>
      <c r="P14" s="149">
        <v>180</v>
      </c>
      <c r="Q14">
        <v>153</v>
      </c>
      <c r="R14" s="150">
        <v>4.5797999999999996</v>
      </c>
      <c r="S14" s="4" t="s">
        <v>123</v>
      </c>
      <c r="T14" t="s">
        <v>124</v>
      </c>
      <c r="U14" s="5">
        <v>45413</v>
      </c>
      <c r="V14" s="5">
        <v>51501</v>
      </c>
      <c r="W14" s="2"/>
      <c r="Y14">
        <v>12</v>
      </c>
      <c r="Z14">
        <v>0.05</v>
      </c>
      <c r="AA14">
        <v>50</v>
      </c>
      <c r="AB14" s="149">
        <v>0.60000000000000009</v>
      </c>
      <c r="AC14" s="149">
        <v>600</v>
      </c>
      <c r="AD14">
        <v>153</v>
      </c>
      <c r="AE14" s="89">
        <v>15.2667</v>
      </c>
      <c r="AF14" t="s">
        <v>1243</v>
      </c>
      <c r="AG14" s="69" t="s">
        <v>1295</v>
      </c>
      <c r="AH14" s="5">
        <v>45413</v>
      </c>
      <c r="AI14" s="5">
        <v>51501</v>
      </c>
    </row>
    <row r="15" spans="1:35" x14ac:dyDescent="0.3">
      <c r="A15">
        <v>1</v>
      </c>
      <c r="B15" s="3">
        <f t="shared" si="0"/>
        <v>0.35</v>
      </c>
      <c r="C15">
        <v>350</v>
      </c>
      <c r="D15">
        <v>153</v>
      </c>
      <c r="E15" s="69">
        <v>7.5279999999999996</v>
      </c>
      <c r="F15" s="4" t="s">
        <v>30</v>
      </c>
      <c r="G15" t="s">
        <v>31</v>
      </c>
      <c r="H15" s="5">
        <v>45413</v>
      </c>
      <c r="I15" s="5">
        <v>51501</v>
      </c>
      <c r="J15" s="2"/>
      <c r="L15">
        <v>10</v>
      </c>
      <c r="M15" s="3">
        <f t="shared" si="3"/>
        <v>0.05</v>
      </c>
      <c r="N15">
        <v>50</v>
      </c>
      <c r="O15" s="149">
        <v>0.5</v>
      </c>
      <c r="P15" s="149">
        <v>500</v>
      </c>
      <c r="Q15">
        <v>153</v>
      </c>
      <c r="R15" s="150">
        <v>12.7225</v>
      </c>
      <c r="S15" s="4" t="s">
        <v>127</v>
      </c>
      <c r="T15" t="s">
        <v>128</v>
      </c>
      <c r="U15" s="5">
        <v>45413</v>
      </c>
      <c r="V15" s="5">
        <v>51501</v>
      </c>
      <c r="W15" s="2"/>
      <c r="Y15">
        <v>24</v>
      </c>
      <c r="Z15">
        <v>0.03</v>
      </c>
      <c r="AA15">
        <v>30</v>
      </c>
      <c r="AB15" s="149">
        <v>0.72</v>
      </c>
      <c r="AC15" s="149">
        <v>720</v>
      </c>
      <c r="AD15">
        <v>153</v>
      </c>
      <c r="AE15" s="89">
        <v>19.083200000000001</v>
      </c>
      <c r="AF15" t="s">
        <v>1246</v>
      </c>
      <c r="AG15" s="69" t="s">
        <v>1298</v>
      </c>
      <c r="AH15" s="5">
        <v>45413</v>
      </c>
      <c r="AI15" s="5">
        <v>51501</v>
      </c>
    </row>
    <row r="16" spans="1:35" x14ac:dyDescent="0.3">
      <c r="A16">
        <v>1</v>
      </c>
      <c r="B16" s="3">
        <f t="shared" si="0"/>
        <v>0.36</v>
      </c>
      <c r="C16">
        <v>360</v>
      </c>
      <c r="D16">
        <v>153</v>
      </c>
      <c r="E16" s="69">
        <v>7.7252000000000001</v>
      </c>
      <c r="F16" s="4" t="s">
        <v>32</v>
      </c>
      <c r="G16" t="s">
        <v>33</v>
      </c>
      <c r="H16" s="5">
        <v>45413</v>
      </c>
      <c r="I16" s="5">
        <v>51501</v>
      </c>
      <c r="J16" s="2"/>
      <c r="L16">
        <v>12</v>
      </c>
      <c r="M16" s="3">
        <f t="shared" si="3"/>
        <v>0.03</v>
      </c>
      <c r="N16">
        <v>30</v>
      </c>
      <c r="O16" s="149">
        <v>0.36</v>
      </c>
      <c r="P16" s="149">
        <v>360</v>
      </c>
      <c r="Q16">
        <v>153</v>
      </c>
      <c r="R16" s="150">
        <v>9.1594999999999995</v>
      </c>
      <c r="S16" s="4" t="s">
        <v>133</v>
      </c>
      <c r="T16" t="s">
        <v>134</v>
      </c>
      <c r="U16" s="5">
        <v>45413</v>
      </c>
      <c r="V16" s="5">
        <v>51501</v>
      </c>
      <c r="W16" s="2"/>
      <c r="Y16">
        <v>2</v>
      </c>
      <c r="Z16">
        <v>0.75</v>
      </c>
      <c r="AA16">
        <v>750</v>
      </c>
      <c r="AB16" s="149">
        <v>1.5</v>
      </c>
      <c r="AC16" s="149">
        <v>1500</v>
      </c>
      <c r="AD16">
        <v>153</v>
      </c>
      <c r="AE16" s="89">
        <v>32.2727</v>
      </c>
      <c r="AF16" t="s">
        <v>1248</v>
      </c>
      <c r="AG16" s="69" t="s">
        <v>1300</v>
      </c>
      <c r="AH16" s="5">
        <v>45413</v>
      </c>
      <c r="AI16" s="5">
        <v>51501</v>
      </c>
    </row>
    <row r="17" spans="1:35" x14ac:dyDescent="0.3">
      <c r="A17">
        <v>1</v>
      </c>
      <c r="B17" s="3">
        <f t="shared" si="0"/>
        <v>0.375</v>
      </c>
      <c r="C17">
        <v>375</v>
      </c>
      <c r="D17">
        <v>153</v>
      </c>
      <c r="E17" s="69">
        <v>8.0670999999999999</v>
      </c>
      <c r="F17" s="4" t="s">
        <v>34</v>
      </c>
      <c r="G17" t="s">
        <v>35</v>
      </c>
      <c r="H17" s="5">
        <v>45413</v>
      </c>
      <c r="I17" s="5">
        <v>51501</v>
      </c>
      <c r="J17" s="2"/>
      <c r="L17">
        <v>24</v>
      </c>
      <c r="M17" s="3">
        <f t="shared" si="3"/>
        <v>0.03</v>
      </c>
      <c r="N17">
        <v>30</v>
      </c>
      <c r="O17" s="149">
        <v>0.72</v>
      </c>
      <c r="P17" s="149">
        <v>720</v>
      </c>
      <c r="Q17">
        <v>153</v>
      </c>
      <c r="R17" s="150">
        <v>18.3141</v>
      </c>
      <c r="S17" s="4" t="s">
        <v>135</v>
      </c>
      <c r="T17" t="s">
        <v>136</v>
      </c>
      <c r="U17" s="5">
        <v>45413</v>
      </c>
      <c r="V17" s="5">
        <v>51501</v>
      </c>
      <c r="W17" s="2"/>
      <c r="Y17">
        <v>3</v>
      </c>
      <c r="Z17">
        <v>0.375</v>
      </c>
      <c r="AA17">
        <v>375</v>
      </c>
      <c r="AB17" s="149">
        <v>1.125</v>
      </c>
      <c r="AC17" s="149">
        <v>1125</v>
      </c>
      <c r="AD17">
        <v>153</v>
      </c>
      <c r="AE17" s="89">
        <v>24.2014</v>
      </c>
      <c r="AF17" t="s">
        <v>1250</v>
      </c>
      <c r="AG17" s="69" t="s">
        <v>1302</v>
      </c>
      <c r="AH17" s="5">
        <v>45413</v>
      </c>
      <c r="AI17" s="5">
        <v>51501</v>
      </c>
    </row>
    <row r="18" spans="1:35" x14ac:dyDescent="0.3">
      <c r="A18">
        <v>1</v>
      </c>
      <c r="B18" s="3">
        <f t="shared" si="0"/>
        <v>0.45</v>
      </c>
      <c r="C18">
        <v>450</v>
      </c>
      <c r="D18">
        <v>153</v>
      </c>
      <c r="E18" s="69">
        <v>9.8796999999999997</v>
      </c>
      <c r="F18" s="4" t="s">
        <v>36</v>
      </c>
      <c r="G18" t="s">
        <v>37</v>
      </c>
      <c r="H18" s="5">
        <v>45413</v>
      </c>
      <c r="I18" s="5">
        <v>51501</v>
      </c>
      <c r="J18" s="2"/>
      <c r="L18">
        <v>1</v>
      </c>
      <c r="M18" s="3">
        <f t="shared" si="3"/>
        <v>2</v>
      </c>
      <c r="N18">
        <v>2000</v>
      </c>
      <c r="O18">
        <v>2</v>
      </c>
      <c r="P18" s="149">
        <v>2000</v>
      </c>
      <c r="Q18">
        <v>153</v>
      </c>
      <c r="R18" s="150">
        <v>37.460599999999999</v>
      </c>
      <c r="S18" s="4" t="s">
        <v>62</v>
      </c>
      <c r="T18" t="s">
        <v>63</v>
      </c>
      <c r="U18" s="5">
        <v>45413</v>
      </c>
      <c r="V18" s="5">
        <v>51501</v>
      </c>
      <c r="W18" s="2"/>
      <c r="Y18">
        <v>3</v>
      </c>
      <c r="Z18">
        <v>0.75</v>
      </c>
      <c r="AA18">
        <v>750</v>
      </c>
      <c r="AB18" s="149">
        <v>2.25</v>
      </c>
      <c r="AC18" s="149">
        <v>2250</v>
      </c>
      <c r="AD18">
        <v>153</v>
      </c>
      <c r="AE18" s="89">
        <v>48.409100000000002</v>
      </c>
      <c r="AF18" t="s">
        <v>1251</v>
      </c>
      <c r="AG18" s="69" t="s">
        <v>1303</v>
      </c>
      <c r="AH18" s="5">
        <v>45413</v>
      </c>
      <c r="AI18" s="5">
        <v>51501</v>
      </c>
    </row>
    <row r="19" spans="1:35" x14ac:dyDescent="0.3">
      <c r="A19">
        <v>1</v>
      </c>
      <c r="B19" s="3">
        <v>0.46</v>
      </c>
      <c r="C19">
        <v>460</v>
      </c>
      <c r="D19">
        <v>153</v>
      </c>
      <c r="E19" s="69">
        <v>1.1002000000000001</v>
      </c>
      <c r="F19" s="4" t="s">
        <v>1253</v>
      </c>
      <c r="G19" t="s">
        <v>1305</v>
      </c>
      <c r="H19" s="5">
        <v>45413</v>
      </c>
      <c r="I19" s="5">
        <v>51501</v>
      </c>
      <c r="J19" s="2"/>
      <c r="W19" s="2"/>
      <c r="Y19">
        <v>4</v>
      </c>
      <c r="Z19">
        <v>0.125</v>
      </c>
      <c r="AA19">
        <v>125</v>
      </c>
      <c r="AB19" s="149">
        <v>0.5</v>
      </c>
      <c r="AC19" s="149">
        <v>500</v>
      </c>
      <c r="AD19">
        <v>153</v>
      </c>
      <c r="AE19" s="89">
        <v>12.7226</v>
      </c>
      <c r="AF19" t="s">
        <v>1254</v>
      </c>
      <c r="AG19" s="69" t="s">
        <v>1306</v>
      </c>
      <c r="AH19" s="5">
        <v>45413</v>
      </c>
      <c r="AI19" s="5">
        <v>51501</v>
      </c>
    </row>
    <row r="20" spans="1:35" x14ac:dyDescent="0.3">
      <c r="A20">
        <v>1</v>
      </c>
      <c r="B20" s="3">
        <f t="shared" si="0"/>
        <v>0.48</v>
      </c>
      <c r="C20">
        <v>480</v>
      </c>
      <c r="D20">
        <v>153</v>
      </c>
      <c r="E20" s="69">
        <v>10.431800000000001</v>
      </c>
      <c r="F20" s="4" t="s">
        <v>38</v>
      </c>
      <c r="G20" t="s">
        <v>39</v>
      </c>
      <c r="H20" s="5">
        <v>45413</v>
      </c>
      <c r="I20" s="5">
        <v>51501</v>
      </c>
      <c r="J20" s="2"/>
      <c r="W20" s="2"/>
      <c r="Y20">
        <v>4</v>
      </c>
      <c r="Z20">
        <v>0.75</v>
      </c>
      <c r="AA20">
        <v>750</v>
      </c>
      <c r="AB20" s="149">
        <v>3</v>
      </c>
      <c r="AC20" s="149">
        <v>3000</v>
      </c>
      <c r="AD20">
        <v>153</v>
      </c>
      <c r="AE20" s="89">
        <v>64.545500000000004</v>
      </c>
      <c r="AF20" t="s">
        <v>1255</v>
      </c>
      <c r="AG20" s="69" t="s">
        <v>1307</v>
      </c>
      <c r="AH20" s="5">
        <v>45413</v>
      </c>
      <c r="AI20" s="5">
        <v>51501</v>
      </c>
    </row>
    <row r="21" spans="1:35" x14ac:dyDescent="0.3">
      <c r="A21">
        <v>1</v>
      </c>
      <c r="B21" s="3">
        <f t="shared" si="0"/>
        <v>0.5</v>
      </c>
      <c r="C21">
        <v>500</v>
      </c>
      <c r="D21">
        <v>153</v>
      </c>
      <c r="E21" s="69">
        <v>10.7546</v>
      </c>
      <c r="F21" s="4" t="s">
        <v>40</v>
      </c>
      <c r="G21" t="s">
        <v>41</v>
      </c>
      <c r="H21" s="5">
        <v>45413</v>
      </c>
      <c r="I21" s="5">
        <v>51501</v>
      </c>
      <c r="J21" s="2"/>
      <c r="W21" s="2"/>
      <c r="Y21">
        <v>3</v>
      </c>
      <c r="Z21" s="151"/>
      <c r="AA21" s="151"/>
      <c r="AB21" s="149">
        <v>0.95</v>
      </c>
      <c r="AC21" s="149">
        <v>950</v>
      </c>
      <c r="AD21">
        <v>153</v>
      </c>
      <c r="AE21" s="89">
        <v>19.068100000000001</v>
      </c>
      <c r="AF21" t="s">
        <v>1259</v>
      </c>
      <c r="AG21" s="69" t="s">
        <v>1311</v>
      </c>
      <c r="AH21" s="5">
        <v>45413</v>
      </c>
      <c r="AI21" s="5">
        <v>51501</v>
      </c>
    </row>
    <row r="22" spans="1:35" x14ac:dyDescent="0.3">
      <c r="A22">
        <v>1</v>
      </c>
      <c r="B22" s="3">
        <f t="shared" si="0"/>
        <v>0.68</v>
      </c>
      <c r="C22">
        <v>680</v>
      </c>
      <c r="D22">
        <v>153</v>
      </c>
      <c r="E22" s="69">
        <v>13.306800000000001</v>
      </c>
      <c r="F22" s="4" t="s">
        <v>42</v>
      </c>
      <c r="G22" t="s">
        <v>43</v>
      </c>
      <c r="H22" s="5">
        <v>45413</v>
      </c>
      <c r="I22" s="5">
        <v>51501</v>
      </c>
      <c r="J22" s="2"/>
      <c r="W22" s="2"/>
      <c r="Y22">
        <v>4</v>
      </c>
      <c r="Z22" s="151"/>
      <c r="AA22" s="151"/>
      <c r="AB22" s="149">
        <v>0.9</v>
      </c>
      <c r="AC22" s="149">
        <v>900</v>
      </c>
      <c r="AD22">
        <v>153</v>
      </c>
      <c r="AE22" s="89">
        <v>18.494800000000001</v>
      </c>
      <c r="AF22" t="s">
        <v>1260</v>
      </c>
      <c r="AG22" s="69" t="s">
        <v>1312</v>
      </c>
      <c r="AH22" s="5">
        <v>45413</v>
      </c>
      <c r="AI22" s="5">
        <v>51501</v>
      </c>
    </row>
    <row r="23" spans="1:35" x14ac:dyDescent="0.3">
      <c r="A23">
        <v>1</v>
      </c>
      <c r="B23" s="3">
        <f t="shared" si="0"/>
        <v>0.7</v>
      </c>
      <c r="C23">
        <v>700</v>
      </c>
      <c r="D23">
        <v>153</v>
      </c>
      <c r="E23" s="69">
        <v>13.6996</v>
      </c>
      <c r="F23" s="4" t="s">
        <v>44</v>
      </c>
      <c r="G23" t="s">
        <v>45</v>
      </c>
      <c r="H23" s="5">
        <v>45413</v>
      </c>
      <c r="I23" s="5">
        <v>51501</v>
      </c>
      <c r="J23" s="2"/>
      <c r="W23" s="2"/>
      <c r="Y23">
        <v>7</v>
      </c>
      <c r="Z23">
        <v>0.05</v>
      </c>
      <c r="AA23">
        <v>50</v>
      </c>
      <c r="AB23" s="149">
        <f>Z23*Y23</f>
        <v>0.35000000000000003</v>
      </c>
      <c r="AC23" s="149">
        <f>AA23*Y23</f>
        <v>350</v>
      </c>
      <c r="AD23">
        <v>153</v>
      </c>
      <c r="AE23" s="89">
        <v>8.9057999999999993</v>
      </c>
      <c r="AF23" t="s">
        <v>1261</v>
      </c>
      <c r="AG23" s="69" t="s">
        <v>1313</v>
      </c>
      <c r="AH23" s="5">
        <v>45413</v>
      </c>
      <c r="AI23" s="5">
        <v>51501</v>
      </c>
    </row>
    <row r="24" spans="1:35" x14ac:dyDescent="0.3">
      <c r="A24">
        <v>1</v>
      </c>
      <c r="B24" s="3">
        <f t="shared" si="0"/>
        <v>0.71</v>
      </c>
      <c r="C24">
        <v>710</v>
      </c>
      <c r="D24">
        <v>153</v>
      </c>
      <c r="E24" s="69">
        <v>13.893700000000001</v>
      </c>
      <c r="F24" s="4" t="s">
        <v>46</v>
      </c>
      <c r="G24" t="s">
        <v>47</v>
      </c>
      <c r="H24" s="5">
        <v>45413</v>
      </c>
      <c r="I24" s="5">
        <v>51501</v>
      </c>
      <c r="J24" s="2"/>
      <c r="W24" s="2"/>
    </row>
    <row r="25" spans="1:35" x14ac:dyDescent="0.3">
      <c r="A25">
        <v>1</v>
      </c>
      <c r="B25" s="3">
        <f t="shared" si="0"/>
        <v>0.72</v>
      </c>
      <c r="C25">
        <v>720</v>
      </c>
      <c r="D25">
        <v>153</v>
      </c>
      <c r="E25" s="69">
        <v>14.0886</v>
      </c>
      <c r="F25" s="4" t="s">
        <v>48</v>
      </c>
      <c r="G25" t="s">
        <v>49</v>
      </c>
      <c r="H25" s="5">
        <v>45413</v>
      </c>
      <c r="I25" s="5">
        <v>51501</v>
      </c>
      <c r="J25" s="2"/>
      <c r="W25" s="2"/>
    </row>
    <row r="26" spans="1:35" x14ac:dyDescent="0.3">
      <c r="A26">
        <v>1</v>
      </c>
      <c r="B26" s="3">
        <f t="shared" si="0"/>
        <v>0.73</v>
      </c>
      <c r="C26">
        <v>730</v>
      </c>
      <c r="D26">
        <v>153</v>
      </c>
      <c r="E26" s="69">
        <v>14.284800000000001</v>
      </c>
      <c r="F26" s="4" t="s">
        <v>50</v>
      </c>
      <c r="G26" t="s">
        <v>51</v>
      </c>
      <c r="H26" s="5">
        <v>45413</v>
      </c>
      <c r="I26" s="5">
        <v>51501</v>
      </c>
      <c r="J26" s="2"/>
      <c r="W26" s="2"/>
    </row>
    <row r="27" spans="1:35" x14ac:dyDescent="0.3">
      <c r="A27">
        <v>1</v>
      </c>
      <c r="B27" s="3">
        <f t="shared" si="0"/>
        <v>0.75</v>
      </c>
      <c r="C27">
        <v>750</v>
      </c>
      <c r="D27">
        <v>153</v>
      </c>
      <c r="E27" s="69">
        <v>14.6782</v>
      </c>
      <c r="F27" s="4" t="s">
        <v>52</v>
      </c>
      <c r="G27" t="s">
        <v>53</v>
      </c>
      <c r="H27" s="5">
        <v>45413</v>
      </c>
      <c r="I27" s="5">
        <v>51501</v>
      </c>
      <c r="J27" s="2"/>
      <c r="W27" s="2"/>
    </row>
    <row r="28" spans="1:35" x14ac:dyDescent="0.3">
      <c r="A28">
        <v>1</v>
      </c>
      <c r="B28" s="3">
        <f t="shared" si="0"/>
        <v>1</v>
      </c>
      <c r="C28">
        <v>1000</v>
      </c>
      <c r="D28">
        <v>153</v>
      </c>
      <c r="E28" s="69">
        <v>18.1525</v>
      </c>
      <c r="F28" s="4" t="s">
        <v>54</v>
      </c>
      <c r="G28" t="s">
        <v>55</v>
      </c>
      <c r="H28" s="5">
        <v>45413</v>
      </c>
      <c r="I28" s="5">
        <v>51501</v>
      </c>
      <c r="J28" s="2"/>
      <c r="W28" s="2"/>
    </row>
    <row r="29" spans="1:35" x14ac:dyDescent="0.3">
      <c r="A29">
        <v>1</v>
      </c>
      <c r="B29" s="3">
        <f t="shared" si="0"/>
        <v>1.1399999999999999</v>
      </c>
      <c r="C29">
        <v>1140</v>
      </c>
      <c r="D29">
        <v>153</v>
      </c>
      <c r="E29" s="69">
        <v>21.6646</v>
      </c>
      <c r="F29" s="4" t="s">
        <v>56</v>
      </c>
      <c r="G29" t="s">
        <v>57</v>
      </c>
      <c r="H29" s="5">
        <v>45413</v>
      </c>
      <c r="I29" s="5">
        <v>51501</v>
      </c>
      <c r="J29" s="2"/>
      <c r="W29" s="2"/>
      <c r="AB29" s="149"/>
      <c r="AC29" s="149"/>
    </row>
    <row r="30" spans="1:35" x14ac:dyDescent="0.3">
      <c r="A30">
        <v>1</v>
      </c>
      <c r="B30" s="3">
        <f t="shared" si="0"/>
        <v>1.5</v>
      </c>
      <c r="C30">
        <v>1500</v>
      </c>
      <c r="D30">
        <v>153</v>
      </c>
      <c r="E30" s="69">
        <v>28.094799999999999</v>
      </c>
      <c r="F30" s="4" t="s">
        <v>58</v>
      </c>
      <c r="G30" t="s">
        <v>59</v>
      </c>
      <c r="H30" s="5">
        <v>45413</v>
      </c>
      <c r="I30" s="5">
        <v>51501</v>
      </c>
      <c r="J30" s="2"/>
      <c r="W30" s="2"/>
    </row>
    <row r="31" spans="1:35" x14ac:dyDescent="0.3">
      <c r="A31">
        <v>1</v>
      </c>
      <c r="B31" s="3">
        <f t="shared" si="0"/>
        <v>1.75</v>
      </c>
      <c r="C31">
        <v>1750</v>
      </c>
      <c r="D31">
        <v>153</v>
      </c>
      <c r="E31" s="69">
        <v>32.779699999999998</v>
      </c>
      <c r="F31" s="4" t="s">
        <v>60</v>
      </c>
      <c r="G31" t="s">
        <v>61</v>
      </c>
      <c r="H31" s="5">
        <v>45413</v>
      </c>
      <c r="I31" s="5">
        <v>51501</v>
      </c>
      <c r="J31" s="2"/>
      <c r="W31" s="2"/>
    </row>
    <row r="32" spans="1:35" x14ac:dyDescent="0.3">
      <c r="A32">
        <v>1</v>
      </c>
      <c r="B32" s="3">
        <f t="shared" si="0"/>
        <v>2</v>
      </c>
      <c r="C32">
        <v>2000</v>
      </c>
      <c r="D32">
        <v>153</v>
      </c>
      <c r="E32" s="69">
        <v>35.697299999999998</v>
      </c>
      <c r="F32" s="4" t="s">
        <v>64</v>
      </c>
      <c r="G32" t="s">
        <v>65</v>
      </c>
      <c r="H32" s="5">
        <v>45413</v>
      </c>
      <c r="I32" s="5">
        <v>51501</v>
      </c>
      <c r="J32" s="2"/>
      <c r="W32" s="2"/>
    </row>
    <row r="33" spans="1:23" x14ac:dyDescent="0.3">
      <c r="A33">
        <v>1</v>
      </c>
      <c r="B33" s="3">
        <f t="shared" si="0"/>
        <v>2.5</v>
      </c>
      <c r="C33">
        <v>2500</v>
      </c>
      <c r="D33">
        <v>153</v>
      </c>
      <c r="E33" s="69">
        <v>46.824199999999998</v>
      </c>
      <c r="F33" s="4" t="s">
        <v>66</v>
      </c>
      <c r="G33" t="s">
        <v>67</v>
      </c>
      <c r="H33" s="5">
        <v>45413</v>
      </c>
      <c r="I33" s="5">
        <v>51501</v>
      </c>
      <c r="J33" s="2"/>
      <c r="W33" s="2"/>
    </row>
    <row r="34" spans="1:23" x14ac:dyDescent="0.3">
      <c r="A34">
        <v>1</v>
      </c>
      <c r="B34" s="3">
        <f t="shared" si="0"/>
        <v>3</v>
      </c>
      <c r="C34">
        <v>3000</v>
      </c>
      <c r="D34">
        <v>153</v>
      </c>
      <c r="E34" s="69">
        <v>53.798900000000003</v>
      </c>
      <c r="F34" s="4" t="s">
        <v>68</v>
      </c>
      <c r="G34" t="s">
        <v>69</v>
      </c>
      <c r="H34" s="5">
        <v>45413</v>
      </c>
      <c r="I34" s="5">
        <v>51501</v>
      </c>
      <c r="J34" s="2"/>
      <c r="W34" s="2"/>
    </row>
    <row r="35" spans="1:23" x14ac:dyDescent="0.3">
      <c r="A35">
        <v>1</v>
      </c>
      <c r="B35" s="3">
        <f t="shared" si="0"/>
        <v>3.75</v>
      </c>
      <c r="C35">
        <v>3750</v>
      </c>
      <c r="D35">
        <v>153</v>
      </c>
      <c r="E35" s="69">
        <v>65.677899999999994</v>
      </c>
      <c r="F35" s="4" t="s">
        <v>70</v>
      </c>
      <c r="G35" t="s">
        <v>71</v>
      </c>
      <c r="H35" s="5">
        <v>45413</v>
      </c>
      <c r="I35" s="5">
        <v>51501</v>
      </c>
      <c r="J35" s="2"/>
      <c r="W35" s="2"/>
    </row>
    <row r="36" spans="1:23" x14ac:dyDescent="0.3">
      <c r="A36">
        <v>1</v>
      </c>
      <c r="B36" s="3">
        <f t="shared" si="0"/>
        <v>3.78</v>
      </c>
      <c r="C36">
        <v>3780</v>
      </c>
      <c r="D36">
        <v>153</v>
      </c>
      <c r="E36" s="69">
        <v>66.200699999999998</v>
      </c>
      <c r="F36" s="4" t="s">
        <v>72</v>
      </c>
      <c r="G36" t="s">
        <v>73</v>
      </c>
      <c r="H36" s="5">
        <v>45413</v>
      </c>
      <c r="I36" s="5">
        <v>51501</v>
      </c>
      <c r="J36" s="2"/>
      <c r="W36" s="2"/>
    </row>
    <row r="37" spans="1:23" x14ac:dyDescent="0.3">
      <c r="A37">
        <v>1</v>
      </c>
      <c r="B37" s="3">
        <f t="shared" si="0"/>
        <v>3.7850000000000001</v>
      </c>
      <c r="C37">
        <v>3785</v>
      </c>
      <c r="D37">
        <v>153</v>
      </c>
      <c r="E37" s="69">
        <v>66.286600000000007</v>
      </c>
      <c r="F37" s="4" t="s">
        <v>74</v>
      </c>
      <c r="G37" t="s">
        <v>75</v>
      </c>
      <c r="H37" s="5">
        <v>45413</v>
      </c>
      <c r="I37" s="5">
        <v>51501</v>
      </c>
      <c r="J37" s="2"/>
      <c r="U37" s="78"/>
      <c r="W37" s="2"/>
    </row>
    <row r="38" spans="1:23" x14ac:dyDescent="0.3">
      <c r="A38">
        <v>1</v>
      </c>
      <c r="B38" s="3">
        <f t="shared" si="0"/>
        <v>3.786</v>
      </c>
      <c r="C38">
        <v>3786</v>
      </c>
      <c r="D38">
        <v>153</v>
      </c>
      <c r="E38" s="69">
        <v>66.305300000000003</v>
      </c>
      <c r="F38" s="4" t="s">
        <v>76</v>
      </c>
      <c r="G38" t="s">
        <v>77</v>
      </c>
      <c r="H38" s="5">
        <v>45413</v>
      </c>
      <c r="I38" s="5">
        <v>51501</v>
      </c>
      <c r="J38" s="2"/>
      <c r="U38" s="78"/>
      <c r="W38" s="2"/>
    </row>
    <row r="39" spans="1:23" x14ac:dyDescent="0.3">
      <c r="A39">
        <v>1</v>
      </c>
      <c r="B39" s="3">
        <f t="shared" si="0"/>
        <v>3.79</v>
      </c>
      <c r="C39">
        <v>3790</v>
      </c>
      <c r="D39">
        <v>153</v>
      </c>
      <c r="E39" s="69">
        <v>66.374200000000002</v>
      </c>
      <c r="F39" s="4" t="s">
        <v>78</v>
      </c>
      <c r="G39" t="s">
        <v>79</v>
      </c>
      <c r="H39" s="5">
        <v>45413</v>
      </c>
      <c r="I39" s="5">
        <v>51501</v>
      </c>
      <c r="J39" s="2"/>
      <c r="U39" s="78"/>
      <c r="W39" s="2"/>
    </row>
    <row r="40" spans="1:23" x14ac:dyDescent="0.3">
      <c r="A40">
        <v>1</v>
      </c>
      <c r="B40" s="3">
        <f t="shared" si="0"/>
        <v>4</v>
      </c>
      <c r="C40">
        <v>4000</v>
      </c>
      <c r="D40">
        <v>153</v>
      </c>
      <c r="E40" s="69">
        <v>70.054199999999994</v>
      </c>
      <c r="F40" s="4" t="s">
        <v>80</v>
      </c>
      <c r="G40" t="s">
        <v>81</v>
      </c>
      <c r="H40" s="5">
        <v>45413</v>
      </c>
      <c r="I40" s="5">
        <v>51501</v>
      </c>
      <c r="J40" s="2"/>
      <c r="U40" s="78"/>
      <c r="W40" s="2"/>
    </row>
    <row r="41" spans="1:23" x14ac:dyDescent="0.3">
      <c r="A41">
        <v>1</v>
      </c>
      <c r="B41" s="3">
        <f t="shared" si="0"/>
        <v>4.5</v>
      </c>
      <c r="C41">
        <v>4500</v>
      </c>
      <c r="D41">
        <v>153</v>
      </c>
      <c r="E41" s="69">
        <v>78.965900000000005</v>
      </c>
      <c r="F41" s="4" t="s">
        <v>82</v>
      </c>
      <c r="G41" t="s">
        <v>83</v>
      </c>
      <c r="H41" s="5">
        <v>45413</v>
      </c>
      <c r="I41" s="5">
        <v>51501</v>
      </c>
      <c r="J41" s="2"/>
      <c r="U41" s="78"/>
      <c r="W41" s="2"/>
    </row>
    <row r="42" spans="1:23" x14ac:dyDescent="0.3">
      <c r="A42">
        <v>1</v>
      </c>
      <c r="B42" s="3">
        <f t="shared" si="0"/>
        <v>5</v>
      </c>
      <c r="C42">
        <v>5000</v>
      </c>
      <c r="D42">
        <v>153</v>
      </c>
      <c r="E42" s="69">
        <v>87.739699999999999</v>
      </c>
      <c r="F42" s="4" t="s">
        <v>84</v>
      </c>
      <c r="G42" t="s">
        <v>85</v>
      </c>
      <c r="H42" s="5">
        <v>45413</v>
      </c>
      <c r="I42" s="5">
        <v>51501</v>
      </c>
      <c r="J42" s="2"/>
      <c r="U42" s="78"/>
      <c r="W42" s="2"/>
    </row>
    <row r="43" spans="1:23" x14ac:dyDescent="0.3">
      <c r="A43">
        <v>1</v>
      </c>
      <c r="B43" s="3">
        <v>5.25</v>
      </c>
      <c r="C43">
        <v>5250</v>
      </c>
      <c r="D43">
        <v>153</v>
      </c>
      <c r="E43" s="69">
        <v>102.7471</v>
      </c>
      <c r="F43" t="s">
        <v>1256</v>
      </c>
      <c r="G43" t="s">
        <v>1308</v>
      </c>
      <c r="H43" s="5">
        <v>45413</v>
      </c>
      <c r="I43" s="5">
        <v>51501</v>
      </c>
      <c r="J43" s="2"/>
      <c r="U43" s="78"/>
      <c r="W43" s="2"/>
    </row>
    <row r="44" spans="1:23" x14ac:dyDescent="0.3">
      <c r="A44">
        <v>1</v>
      </c>
      <c r="B44" s="3">
        <v>6</v>
      </c>
      <c r="C44">
        <v>6000</v>
      </c>
      <c r="D44">
        <v>153</v>
      </c>
      <c r="E44" s="69">
        <v>105.28789999999999</v>
      </c>
      <c r="F44" t="s">
        <v>1257</v>
      </c>
      <c r="G44" t="s">
        <v>1309</v>
      </c>
      <c r="H44" s="5">
        <v>45413</v>
      </c>
      <c r="I44" s="5">
        <v>51501</v>
      </c>
      <c r="J44" s="2"/>
      <c r="U44" s="78"/>
      <c r="W44" s="2"/>
    </row>
    <row r="45" spans="1:23" x14ac:dyDescent="0.3">
      <c r="A45">
        <v>1</v>
      </c>
      <c r="B45" s="3">
        <v>2.8400000000000002E-2</v>
      </c>
      <c r="C45">
        <v>28.4</v>
      </c>
      <c r="D45">
        <v>153</v>
      </c>
      <c r="E45" s="89">
        <v>0.72260000000000002</v>
      </c>
      <c r="F45" t="s">
        <v>1247</v>
      </c>
      <c r="G45" s="69" t="s">
        <v>1299</v>
      </c>
      <c r="H45" s="5">
        <v>45413</v>
      </c>
      <c r="I45" s="5">
        <v>51501</v>
      </c>
      <c r="J45" s="2"/>
      <c r="U45" s="78"/>
      <c r="W45" s="2"/>
    </row>
    <row r="46" spans="1:23" x14ac:dyDescent="0.3">
      <c r="B46" s="3"/>
      <c r="F46" s="4"/>
      <c r="H46" s="5"/>
      <c r="I46" s="5"/>
      <c r="J46" s="2"/>
      <c r="U46" s="78"/>
      <c r="W46" s="2"/>
    </row>
    <row r="47" spans="1:23" x14ac:dyDescent="0.3">
      <c r="U47" s="78"/>
    </row>
    <row r="48" spans="1:23" x14ac:dyDescent="0.3">
      <c r="U48" s="78"/>
    </row>
    <row r="49" spans="8:23" x14ac:dyDescent="0.3">
      <c r="U49" s="78"/>
    </row>
    <row r="50" spans="8:23" x14ac:dyDescent="0.3">
      <c r="T50" s="69"/>
      <c r="U50" s="78"/>
    </row>
    <row r="51" spans="8:23" x14ac:dyDescent="0.3">
      <c r="T51" s="69"/>
      <c r="U51" s="78"/>
    </row>
    <row r="52" spans="8:23" x14ac:dyDescent="0.3">
      <c r="T52" s="69"/>
      <c r="U52" s="78"/>
    </row>
    <row r="54" spans="8:23" x14ac:dyDescent="0.3">
      <c r="H54" s="89"/>
      <c r="I54" s="90"/>
      <c r="J54" s="90"/>
      <c r="W54" s="90"/>
    </row>
    <row r="55" spans="8:23" x14ac:dyDescent="0.3">
      <c r="H55" s="89"/>
      <c r="I55" s="90"/>
      <c r="J55" s="90"/>
      <c r="W55" s="90"/>
    </row>
    <row r="56" spans="8:23" x14ac:dyDescent="0.3">
      <c r="H56" s="89"/>
      <c r="I56" s="90"/>
      <c r="J56" s="90"/>
      <c r="W56" s="90"/>
    </row>
    <row r="57" spans="8:23" x14ac:dyDescent="0.3">
      <c r="H57" s="89"/>
      <c r="I57" s="90"/>
      <c r="J57" s="90"/>
      <c r="W57" s="90"/>
    </row>
    <row r="58" spans="8:23" x14ac:dyDescent="0.3">
      <c r="H58" s="89"/>
      <c r="I58" s="90"/>
      <c r="J58" s="90"/>
      <c r="W58" s="90"/>
    </row>
  </sheetData>
  <conditionalFormatting sqref="C33:C45 C3:C31">
    <cfRule type="duplicateValues" dxfId="31" priority="6"/>
  </conditionalFormatting>
  <conditionalFormatting sqref="C32">
    <cfRule type="duplicateValues" dxfId="30" priority="4"/>
  </conditionalFormatting>
  <conditionalFormatting sqref="N18">
    <cfRule type="duplicateValues" dxfId="29" priority="3"/>
  </conditionalFormatting>
  <conditionalFormatting sqref="P3:P18">
    <cfRule type="duplicateValues" dxfId="28" priority="38"/>
  </conditionalFormatting>
  <conditionalFormatting sqref="AC3:AC23">
    <cfRule type="duplicateValues" dxfId="27" priority="40"/>
  </conditionalFormatting>
  <conditionalFormatting sqref="P3:P19">
    <cfRule type="duplicateValues" dxfId="26" priority="1"/>
  </conditionalFormatting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99FF"/>
  </sheetPr>
  <dimension ref="A1:AJ86"/>
  <sheetViews>
    <sheetView topLeftCell="O1" workbookViewId="0">
      <selection activeCell="Z11" sqref="Z11"/>
    </sheetView>
  </sheetViews>
  <sheetFormatPr defaultColWidth="9.21875" defaultRowHeight="14.4" x14ac:dyDescent="0.3"/>
  <cols>
    <col min="5" max="5" width="16.109375" style="89" bestFit="1" customWidth="1"/>
    <col min="6" max="6" width="16.5546875" bestFit="1" customWidth="1"/>
    <col min="7" max="7" width="17.77734375" bestFit="1" customWidth="1"/>
    <col min="8" max="8" width="12.44140625" bestFit="1" customWidth="1"/>
    <col min="9" max="9" width="10.33203125" bestFit="1" customWidth="1"/>
    <col min="10" max="10" width="1.77734375" style="79" customWidth="1"/>
    <col min="18" max="18" width="16.109375" bestFit="1" customWidth="1"/>
    <col min="19" max="19" width="16.5546875" bestFit="1" customWidth="1"/>
    <col min="20" max="20" width="17.77734375" bestFit="1" customWidth="1"/>
    <col min="21" max="21" width="12.44140625" bestFit="1" customWidth="1"/>
    <col min="22" max="22" width="10.33203125" bestFit="1" customWidth="1"/>
    <col min="33" max="33" width="10.109375" bestFit="1" customWidth="1"/>
    <col min="34" max="34" width="14.77734375" bestFit="1" customWidth="1"/>
    <col min="35" max="36" width="10.109375" bestFit="1" customWidth="1"/>
  </cols>
  <sheetData>
    <row r="1" spans="1:36" x14ac:dyDescent="0.3">
      <c r="A1" s="1" t="s">
        <v>1395</v>
      </c>
      <c r="L1" s="1" t="s">
        <v>1396</v>
      </c>
      <c r="U1" s="5"/>
      <c r="Z1" s="1" t="s">
        <v>1397</v>
      </c>
    </row>
    <row r="2" spans="1:36" x14ac:dyDescent="0.3">
      <c r="A2" s="1" t="s">
        <v>0</v>
      </c>
      <c r="B2" s="1" t="s">
        <v>1</v>
      </c>
      <c r="C2" s="1" t="s">
        <v>2</v>
      </c>
      <c r="D2" s="1" t="s">
        <v>3</v>
      </c>
      <c r="E2" s="152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80"/>
      <c r="L2" s="1" t="s">
        <v>0</v>
      </c>
      <c r="M2" s="1" t="s">
        <v>1</v>
      </c>
      <c r="N2" s="1" t="s">
        <v>2</v>
      </c>
      <c r="O2" s="1" t="s">
        <v>86</v>
      </c>
      <c r="P2" s="1" t="s">
        <v>1391</v>
      </c>
      <c r="Q2" s="1" t="s">
        <v>3</v>
      </c>
      <c r="R2" s="1" t="s">
        <v>4</v>
      </c>
      <c r="S2" s="1" t="s">
        <v>5</v>
      </c>
      <c r="T2" s="1" t="s">
        <v>6</v>
      </c>
      <c r="U2" s="1" t="s">
        <v>7</v>
      </c>
      <c r="V2" s="1" t="s">
        <v>8</v>
      </c>
    </row>
    <row r="3" spans="1:36" x14ac:dyDescent="0.3">
      <c r="A3">
        <v>1</v>
      </c>
      <c r="B3" s="3">
        <f t="shared" ref="B3:B51" si="0">C3/1000</f>
        <v>0.1</v>
      </c>
      <c r="C3">
        <v>100</v>
      </c>
      <c r="D3">
        <v>95</v>
      </c>
      <c r="E3" s="150">
        <v>0.3805</v>
      </c>
      <c r="F3" s="4" t="s">
        <v>139</v>
      </c>
      <c r="G3" t="s">
        <v>140</v>
      </c>
      <c r="H3" s="5">
        <v>45413</v>
      </c>
      <c r="I3" s="5">
        <v>51501</v>
      </c>
      <c r="L3">
        <v>2</v>
      </c>
      <c r="M3" s="3">
        <v>0.2</v>
      </c>
      <c r="N3" s="149">
        <f t="shared" ref="N3" si="1">M3*1000</f>
        <v>200</v>
      </c>
      <c r="O3">
        <f t="shared" ref="O3" si="2">M3*L3</f>
        <v>0.4</v>
      </c>
      <c r="P3">
        <f t="shared" ref="P3" si="3">N3*L3</f>
        <v>400</v>
      </c>
      <c r="Q3">
        <v>95</v>
      </c>
      <c r="R3" s="150">
        <v>2.1185</v>
      </c>
      <c r="S3" s="4" t="s">
        <v>224</v>
      </c>
      <c r="T3" t="s">
        <v>225</v>
      </c>
      <c r="U3" s="5">
        <v>45413</v>
      </c>
      <c r="V3" s="5">
        <v>51501</v>
      </c>
      <c r="Z3">
        <v>2</v>
      </c>
      <c r="AA3" s="3">
        <f>AB3/1000</f>
        <v>0.1875</v>
      </c>
      <c r="AB3">
        <v>187.5</v>
      </c>
      <c r="AE3">
        <v>95</v>
      </c>
      <c r="AF3" s="150">
        <v>1.9789000000000001</v>
      </c>
      <c r="AG3" s="4" t="s">
        <v>222</v>
      </c>
      <c r="AH3" t="s">
        <v>223</v>
      </c>
      <c r="AI3" s="5">
        <v>45413</v>
      </c>
      <c r="AJ3" s="5">
        <v>51501</v>
      </c>
    </row>
    <row r="4" spans="1:36" x14ac:dyDescent="0.3">
      <c r="A4">
        <v>1</v>
      </c>
      <c r="B4" s="3">
        <f t="shared" si="0"/>
        <v>1</v>
      </c>
      <c r="C4">
        <v>1000</v>
      </c>
      <c r="D4">
        <v>95</v>
      </c>
      <c r="E4" s="150">
        <v>3.8140999999999998</v>
      </c>
      <c r="F4" s="4" t="s">
        <v>141</v>
      </c>
      <c r="G4" t="s">
        <v>142</v>
      </c>
      <c r="H4" s="5">
        <v>45413</v>
      </c>
      <c r="I4" s="5">
        <v>51501</v>
      </c>
      <c r="L4">
        <v>2</v>
      </c>
      <c r="M4" s="3">
        <v>4.5</v>
      </c>
      <c r="N4" s="149">
        <f t="shared" ref="N4:N19" si="4">M4*1000</f>
        <v>4500</v>
      </c>
      <c r="O4">
        <f t="shared" ref="O4:O19" si="5">M4*L4</f>
        <v>9</v>
      </c>
      <c r="P4">
        <f t="shared" ref="P4:P19" si="6">N4*L4</f>
        <v>9000</v>
      </c>
      <c r="Q4">
        <v>95</v>
      </c>
      <c r="R4" s="150">
        <v>24.814399999999999</v>
      </c>
      <c r="S4" s="4" t="s">
        <v>228</v>
      </c>
      <c r="T4" t="s">
        <v>229</v>
      </c>
      <c r="U4" s="5">
        <v>45413</v>
      </c>
      <c r="V4" s="5">
        <v>51501</v>
      </c>
      <c r="Z4">
        <v>2</v>
      </c>
      <c r="AA4" s="3">
        <v>1</v>
      </c>
      <c r="AB4" s="149">
        <f t="shared" ref="AB4:AB10" si="7">AA4*1000</f>
        <v>1000</v>
      </c>
      <c r="AC4">
        <f t="shared" ref="AC4:AC10" si="8">AA4*Z4</f>
        <v>2</v>
      </c>
      <c r="AD4">
        <f t="shared" ref="AD4:AD10" si="9">AB4*Z4</f>
        <v>2000</v>
      </c>
      <c r="AE4">
        <v>95</v>
      </c>
      <c r="AF4" s="150">
        <v>7.6280999999999999</v>
      </c>
      <c r="AG4" s="4" t="s">
        <v>939</v>
      </c>
      <c r="AH4" t="s">
        <v>940</v>
      </c>
      <c r="AI4" s="5">
        <v>45413</v>
      </c>
      <c r="AJ4" s="5">
        <v>51501</v>
      </c>
    </row>
    <row r="5" spans="1:36" x14ac:dyDescent="0.3">
      <c r="A5">
        <v>1</v>
      </c>
      <c r="B5" s="3">
        <f t="shared" si="0"/>
        <v>10</v>
      </c>
      <c r="C5">
        <v>10000</v>
      </c>
      <c r="D5">
        <v>95</v>
      </c>
      <c r="E5" s="150">
        <v>27.572900000000001</v>
      </c>
      <c r="F5" s="4" t="s">
        <v>143</v>
      </c>
      <c r="G5" t="s">
        <v>144</v>
      </c>
      <c r="H5" s="5">
        <v>45413</v>
      </c>
      <c r="I5" s="5">
        <v>51501</v>
      </c>
      <c r="L5">
        <v>3</v>
      </c>
      <c r="M5" s="3">
        <v>0.25</v>
      </c>
      <c r="N5" s="149">
        <f t="shared" si="4"/>
        <v>250</v>
      </c>
      <c r="O5">
        <f t="shared" si="5"/>
        <v>0.75</v>
      </c>
      <c r="P5">
        <f t="shared" si="6"/>
        <v>750</v>
      </c>
      <c r="Q5">
        <v>95</v>
      </c>
      <c r="R5" s="150">
        <v>3.9668999999999999</v>
      </c>
      <c r="S5" s="4" t="s">
        <v>941</v>
      </c>
      <c r="T5" t="s">
        <v>942</v>
      </c>
      <c r="U5" s="5">
        <v>45413</v>
      </c>
      <c r="V5" s="5">
        <v>51501</v>
      </c>
      <c r="Z5">
        <v>2</v>
      </c>
      <c r="AA5" s="3">
        <v>0.375</v>
      </c>
      <c r="AB5" s="149">
        <f t="shared" si="7"/>
        <v>375</v>
      </c>
      <c r="AC5">
        <f t="shared" si="8"/>
        <v>0.75</v>
      </c>
      <c r="AD5">
        <f t="shared" si="9"/>
        <v>750</v>
      </c>
      <c r="AE5">
        <v>95</v>
      </c>
      <c r="AF5" s="150">
        <v>3.9659</v>
      </c>
      <c r="AG5" s="4" t="s">
        <v>226</v>
      </c>
      <c r="AH5" t="s">
        <v>227</v>
      </c>
      <c r="AI5" s="5">
        <v>45413</v>
      </c>
      <c r="AJ5" s="5">
        <v>51501</v>
      </c>
    </row>
    <row r="6" spans="1:36" x14ac:dyDescent="0.3">
      <c r="A6">
        <v>1</v>
      </c>
      <c r="B6" s="3">
        <f t="shared" si="0"/>
        <v>12</v>
      </c>
      <c r="C6">
        <v>12000</v>
      </c>
      <c r="D6">
        <v>95</v>
      </c>
      <c r="E6" s="150">
        <v>33.086399999999998</v>
      </c>
      <c r="F6" s="4" t="s">
        <v>145</v>
      </c>
      <c r="G6" t="s">
        <v>146</v>
      </c>
      <c r="H6" s="5">
        <v>45413</v>
      </c>
      <c r="I6" s="5">
        <v>51501</v>
      </c>
      <c r="L6">
        <v>3</v>
      </c>
      <c r="M6" s="3">
        <v>0.375</v>
      </c>
      <c r="N6" s="149">
        <f t="shared" si="4"/>
        <v>375</v>
      </c>
      <c r="O6">
        <f t="shared" si="5"/>
        <v>1.125</v>
      </c>
      <c r="P6">
        <f t="shared" si="6"/>
        <v>1125</v>
      </c>
      <c r="Q6">
        <v>95</v>
      </c>
      <c r="R6" s="150">
        <v>5.9492000000000003</v>
      </c>
      <c r="S6" s="4" t="s">
        <v>234</v>
      </c>
      <c r="T6" t="s">
        <v>235</v>
      </c>
      <c r="U6" s="5">
        <v>45413</v>
      </c>
      <c r="V6" s="5">
        <v>51501</v>
      </c>
      <c r="Z6">
        <v>4</v>
      </c>
      <c r="AA6" s="3">
        <v>0.1875</v>
      </c>
      <c r="AB6" s="149">
        <f t="shared" si="7"/>
        <v>187.5</v>
      </c>
      <c r="AC6">
        <f t="shared" si="8"/>
        <v>0.75</v>
      </c>
      <c r="AD6">
        <f t="shared" si="9"/>
        <v>750</v>
      </c>
      <c r="AE6">
        <v>95</v>
      </c>
      <c r="AF6" s="150">
        <v>3.9685999999999999</v>
      </c>
      <c r="AG6" s="4" t="s">
        <v>943</v>
      </c>
      <c r="AH6" t="s">
        <v>944</v>
      </c>
      <c r="AI6" s="5">
        <v>45413</v>
      </c>
      <c r="AJ6" s="5">
        <v>51501</v>
      </c>
    </row>
    <row r="7" spans="1:36" x14ac:dyDescent="0.3">
      <c r="A7">
        <v>1</v>
      </c>
      <c r="B7" s="3">
        <f t="shared" si="0"/>
        <v>1.5</v>
      </c>
      <c r="C7">
        <v>1500</v>
      </c>
      <c r="D7">
        <v>95</v>
      </c>
      <c r="E7" s="150">
        <v>5.5458999999999996</v>
      </c>
      <c r="F7" s="4" t="s">
        <v>147</v>
      </c>
      <c r="G7" t="s">
        <v>148</v>
      </c>
      <c r="H7" s="5">
        <v>45413</v>
      </c>
      <c r="I7" s="5">
        <v>51501</v>
      </c>
      <c r="L7">
        <v>3</v>
      </c>
      <c r="M7" s="3">
        <v>0.05</v>
      </c>
      <c r="N7" s="149">
        <f t="shared" si="4"/>
        <v>50</v>
      </c>
      <c r="O7">
        <f t="shared" si="5"/>
        <v>0.15000000000000002</v>
      </c>
      <c r="P7">
        <f t="shared" si="6"/>
        <v>150</v>
      </c>
      <c r="Q7">
        <v>95</v>
      </c>
      <c r="R7" s="150">
        <v>0.79190000000000005</v>
      </c>
      <c r="S7" s="4" t="s">
        <v>236</v>
      </c>
      <c r="T7" t="s">
        <v>237</v>
      </c>
      <c r="U7" s="5">
        <v>45413</v>
      </c>
      <c r="V7" s="5">
        <v>51501</v>
      </c>
      <c r="Z7">
        <v>2</v>
      </c>
      <c r="AA7" s="3">
        <v>0.75</v>
      </c>
      <c r="AB7" s="149">
        <f t="shared" si="7"/>
        <v>750</v>
      </c>
      <c r="AC7">
        <f t="shared" si="8"/>
        <v>1.5</v>
      </c>
      <c r="AD7">
        <f t="shared" si="9"/>
        <v>1500</v>
      </c>
      <c r="AE7">
        <v>95</v>
      </c>
      <c r="AF7" s="150">
        <v>6.6649000000000003</v>
      </c>
      <c r="AG7" s="4" t="s">
        <v>230</v>
      </c>
      <c r="AH7" t="s">
        <v>231</v>
      </c>
      <c r="AI7" s="5">
        <v>45413</v>
      </c>
      <c r="AJ7" s="5">
        <v>51501</v>
      </c>
    </row>
    <row r="8" spans="1:36" x14ac:dyDescent="0.3">
      <c r="A8">
        <v>1</v>
      </c>
      <c r="B8" s="3">
        <f t="shared" si="0"/>
        <v>15</v>
      </c>
      <c r="C8">
        <v>15000</v>
      </c>
      <c r="D8">
        <v>95</v>
      </c>
      <c r="E8" s="150">
        <v>41.939300000000003</v>
      </c>
      <c r="F8" s="4" t="s">
        <v>149</v>
      </c>
      <c r="G8" t="s">
        <v>150</v>
      </c>
      <c r="H8" s="5">
        <v>45413</v>
      </c>
      <c r="I8" s="5">
        <v>51501</v>
      </c>
      <c r="L8">
        <v>3</v>
      </c>
      <c r="M8" s="3">
        <v>0.75</v>
      </c>
      <c r="N8" s="149">
        <f t="shared" si="4"/>
        <v>750</v>
      </c>
      <c r="O8">
        <f t="shared" si="5"/>
        <v>2.25</v>
      </c>
      <c r="P8">
        <f t="shared" si="6"/>
        <v>2250</v>
      </c>
      <c r="Q8">
        <v>95</v>
      </c>
      <c r="R8" s="150">
        <v>9.9974000000000007</v>
      </c>
      <c r="S8" s="4" t="s">
        <v>238</v>
      </c>
      <c r="T8" t="s">
        <v>239</v>
      </c>
      <c r="U8" s="5">
        <v>45413</v>
      </c>
      <c r="V8" s="5">
        <v>51501</v>
      </c>
      <c r="Z8">
        <v>3</v>
      </c>
      <c r="AA8" s="3">
        <v>0.2</v>
      </c>
      <c r="AB8" s="149">
        <f t="shared" si="7"/>
        <v>200</v>
      </c>
      <c r="AC8">
        <f t="shared" si="8"/>
        <v>0.60000000000000009</v>
      </c>
      <c r="AD8">
        <f t="shared" si="9"/>
        <v>600</v>
      </c>
      <c r="AE8">
        <v>95</v>
      </c>
      <c r="AF8" s="150">
        <v>3.1642000000000001</v>
      </c>
      <c r="AG8" s="4" t="s">
        <v>232</v>
      </c>
      <c r="AH8" t="s">
        <v>233</v>
      </c>
      <c r="AI8" s="5">
        <v>45413</v>
      </c>
      <c r="AJ8" s="5">
        <v>51501</v>
      </c>
    </row>
    <row r="9" spans="1:36" x14ac:dyDescent="0.3">
      <c r="A9">
        <v>1</v>
      </c>
      <c r="B9" s="3">
        <f t="shared" si="0"/>
        <v>16</v>
      </c>
      <c r="C9">
        <v>16000</v>
      </c>
      <c r="D9">
        <v>95</v>
      </c>
      <c r="E9" s="150">
        <v>44.735300000000002</v>
      </c>
      <c r="F9" s="4" t="s">
        <v>151</v>
      </c>
      <c r="G9" t="s">
        <v>152</v>
      </c>
      <c r="H9" s="5">
        <v>45413</v>
      </c>
      <c r="I9" s="5">
        <v>51501</v>
      </c>
      <c r="L9">
        <v>4</v>
      </c>
      <c r="M9" s="3">
        <v>0.187</v>
      </c>
      <c r="N9" s="149">
        <f t="shared" si="4"/>
        <v>187</v>
      </c>
      <c r="O9">
        <f t="shared" si="5"/>
        <v>0.748</v>
      </c>
      <c r="P9">
        <f t="shared" si="6"/>
        <v>748</v>
      </c>
      <c r="Q9">
        <v>95</v>
      </c>
      <c r="R9" s="150">
        <v>3.9577</v>
      </c>
      <c r="S9" s="4" t="s">
        <v>240</v>
      </c>
      <c r="T9" t="s">
        <v>241</v>
      </c>
      <c r="U9" s="5">
        <v>45413</v>
      </c>
      <c r="V9" s="5">
        <v>51501</v>
      </c>
      <c r="Z9">
        <v>4</v>
      </c>
      <c r="AA9" s="3">
        <v>0.375</v>
      </c>
      <c r="AB9" s="149">
        <f t="shared" si="7"/>
        <v>375</v>
      </c>
      <c r="AC9">
        <f t="shared" si="8"/>
        <v>1.5</v>
      </c>
      <c r="AD9">
        <f t="shared" si="9"/>
        <v>1500</v>
      </c>
      <c r="AE9">
        <v>95</v>
      </c>
      <c r="AF9" s="150">
        <v>7.9321000000000002</v>
      </c>
      <c r="AG9" s="4" t="s">
        <v>945</v>
      </c>
      <c r="AH9" t="s">
        <v>946</v>
      </c>
      <c r="AI9" s="5">
        <v>45413</v>
      </c>
      <c r="AJ9" s="5">
        <v>51501</v>
      </c>
    </row>
    <row r="10" spans="1:36" x14ac:dyDescent="0.3">
      <c r="A10">
        <v>1</v>
      </c>
      <c r="B10" s="3">
        <f t="shared" si="0"/>
        <v>1.75</v>
      </c>
      <c r="C10">
        <v>1750</v>
      </c>
      <c r="D10">
        <v>95</v>
      </c>
      <c r="E10" s="150">
        <v>6.4699</v>
      </c>
      <c r="F10" s="4" t="s">
        <v>153</v>
      </c>
      <c r="G10" t="s">
        <v>154</v>
      </c>
      <c r="H10" s="5">
        <v>45413</v>
      </c>
      <c r="I10" s="5">
        <v>51501</v>
      </c>
      <c r="L10">
        <v>4</v>
      </c>
      <c r="M10" s="3">
        <v>0.2</v>
      </c>
      <c r="N10" s="149">
        <f t="shared" si="4"/>
        <v>200</v>
      </c>
      <c r="O10">
        <f t="shared" si="5"/>
        <v>0.8</v>
      </c>
      <c r="P10">
        <f t="shared" si="6"/>
        <v>800</v>
      </c>
      <c r="Q10">
        <v>95</v>
      </c>
      <c r="R10" s="150">
        <v>4.2374000000000001</v>
      </c>
      <c r="S10" s="4" t="s">
        <v>242</v>
      </c>
      <c r="T10" t="s">
        <v>243</v>
      </c>
      <c r="U10" s="5">
        <v>45413</v>
      </c>
      <c r="V10" s="5">
        <v>51501</v>
      </c>
      <c r="Z10">
        <v>5</v>
      </c>
      <c r="AA10" s="3">
        <v>0.2</v>
      </c>
      <c r="AB10" s="149">
        <f t="shared" si="7"/>
        <v>200</v>
      </c>
      <c r="AC10">
        <f t="shared" si="8"/>
        <v>1</v>
      </c>
      <c r="AD10">
        <f t="shared" si="9"/>
        <v>1000</v>
      </c>
      <c r="AE10">
        <v>95</v>
      </c>
      <c r="AF10" s="150">
        <v>3.8140999999999998</v>
      </c>
      <c r="AG10" s="4" t="s">
        <v>1263</v>
      </c>
      <c r="AH10" t="s">
        <v>1481</v>
      </c>
      <c r="AI10" s="5">
        <v>45413</v>
      </c>
      <c r="AJ10" s="5">
        <v>51501</v>
      </c>
    </row>
    <row r="11" spans="1:36" x14ac:dyDescent="0.3">
      <c r="A11">
        <v>1</v>
      </c>
      <c r="B11" s="3">
        <f t="shared" si="0"/>
        <v>1.8</v>
      </c>
      <c r="C11">
        <v>1800</v>
      </c>
      <c r="D11">
        <v>95</v>
      </c>
      <c r="E11" s="150">
        <v>6.6548999999999996</v>
      </c>
      <c r="F11" s="4" t="s">
        <v>155</v>
      </c>
      <c r="G11" t="s">
        <v>156</v>
      </c>
      <c r="H11" s="5">
        <v>45413</v>
      </c>
      <c r="I11" s="5">
        <v>51501</v>
      </c>
      <c r="L11">
        <v>4</v>
      </c>
      <c r="M11" s="3">
        <v>0.25</v>
      </c>
      <c r="N11" s="149">
        <f t="shared" si="4"/>
        <v>250</v>
      </c>
      <c r="O11">
        <f t="shared" si="5"/>
        <v>1</v>
      </c>
      <c r="P11">
        <f t="shared" si="6"/>
        <v>1000</v>
      </c>
      <c r="Q11">
        <v>95</v>
      </c>
      <c r="R11" s="150">
        <v>5.2896999999999998</v>
      </c>
      <c r="S11" s="4" t="s">
        <v>244</v>
      </c>
      <c r="T11" t="s">
        <v>245</v>
      </c>
      <c r="U11" s="5">
        <v>45413</v>
      </c>
      <c r="V11" s="5">
        <v>51501</v>
      </c>
    </row>
    <row r="12" spans="1:36" x14ac:dyDescent="0.3">
      <c r="A12">
        <v>1</v>
      </c>
      <c r="B12" s="3">
        <f t="shared" si="0"/>
        <v>18</v>
      </c>
      <c r="C12">
        <v>18000</v>
      </c>
      <c r="D12">
        <v>95</v>
      </c>
      <c r="E12" s="150">
        <v>50.327399999999997</v>
      </c>
      <c r="F12" s="4" t="s">
        <v>157</v>
      </c>
      <c r="G12" t="s">
        <v>158</v>
      </c>
      <c r="H12" s="5">
        <v>45413</v>
      </c>
      <c r="I12" s="5">
        <v>51501</v>
      </c>
      <c r="L12">
        <v>4</v>
      </c>
      <c r="M12" s="3">
        <v>0.5</v>
      </c>
      <c r="N12" s="149">
        <f t="shared" si="4"/>
        <v>500</v>
      </c>
      <c r="O12">
        <f t="shared" si="5"/>
        <v>2</v>
      </c>
      <c r="P12">
        <f t="shared" si="6"/>
        <v>2000</v>
      </c>
      <c r="Q12">
        <v>95</v>
      </c>
      <c r="R12" s="150">
        <v>10.5854</v>
      </c>
      <c r="S12" s="4" t="s">
        <v>246</v>
      </c>
      <c r="T12" t="s">
        <v>247</v>
      </c>
      <c r="U12" s="5">
        <v>45413</v>
      </c>
      <c r="V12" s="5">
        <v>51501</v>
      </c>
    </row>
    <row r="13" spans="1:36" x14ac:dyDescent="0.3">
      <c r="A13">
        <v>1</v>
      </c>
      <c r="B13" s="3">
        <f t="shared" si="0"/>
        <v>0.187</v>
      </c>
      <c r="C13">
        <v>187</v>
      </c>
      <c r="D13">
        <v>95</v>
      </c>
      <c r="E13" s="150">
        <v>0.98919999999999997</v>
      </c>
      <c r="F13" s="4" t="s">
        <v>159</v>
      </c>
      <c r="G13" t="s">
        <v>160</v>
      </c>
      <c r="H13" s="5">
        <v>45413</v>
      </c>
      <c r="I13" s="5">
        <v>51501</v>
      </c>
      <c r="L13">
        <v>6</v>
      </c>
      <c r="M13" s="3">
        <v>0.187</v>
      </c>
      <c r="N13" s="149">
        <f t="shared" si="4"/>
        <v>187</v>
      </c>
      <c r="O13">
        <f t="shared" si="5"/>
        <v>1.1219999999999999</v>
      </c>
      <c r="P13">
        <f t="shared" si="6"/>
        <v>1122</v>
      </c>
      <c r="Q13">
        <v>95</v>
      </c>
      <c r="R13" s="150">
        <v>5.9366000000000003</v>
      </c>
      <c r="S13" s="4" t="s">
        <v>248</v>
      </c>
      <c r="T13" t="s">
        <v>249</v>
      </c>
      <c r="U13" s="5">
        <v>45413</v>
      </c>
      <c r="V13" s="5">
        <v>51501</v>
      </c>
    </row>
    <row r="14" spans="1:36" x14ac:dyDescent="0.3">
      <c r="A14">
        <v>1</v>
      </c>
      <c r="B14" s="3">
        <f t="shared" si="0"/>
        <v>0.1875</v>
      </c>
      <c r="C14">
        <v>187.5</v>
      </c>
      <c r="D14">
        <v>95</v>
      </c>
      <c r="E14" s="150">
        <v>0.99170000000000003</v>
      </c>
      <c r="F14" s="4" t="s">
        <v>161</v>
      </c>
      <c r="G14" t="s">
        <v>162</v>
      </c>
      <c r="H14" s="5">
        <v>45413</v>
      </c>
      <c r="I14" s="5">
        <v>51501</v>
      </c>
      <c r="L14">
        <v>6</v>
      </c>
      <c r="M14" s="3">
        <v>0.25</v>
      </c>
      <c r="N14" s="149">
        <f t="shared" si="4"/>
        <v>250</v>
      </c>
      <c r="O14">
        <f t="shared" si="5"/>
        <v>1.5</v>
      </c>
      <c r="P14">
        <f t="shared" si="6"/>
        <v>1500</v>
      </c>
      <c r="Q14">
        <v>95</v>
      </c>
      <c r="R14" s="150">
        <v>7.9348000000000001</v>
      </c>
      <c r="S14" s="4" t="s">
        <v>947</v>
      </c>
      <c r="T14" t="s">
        <v>948</v>
      </c>
      <c r="U14" s="5">
        <v>45413</v>
      </c>
      <c r="V14" s="5">
        <v>51501</v>
      </c>
    </row>
    <row r="15" spans="1:36" x14ac:dyDescent="0.3">
      <c r="A15">
        <v>1</v>
      </c>
      <c r="B15" s="3">
        <f t="shared" si="0"/>
        <v>19</v>
      </c>
      <c r="C15">
        <v>19000</v>
      </c>
      <c r="D15">
        <v>95</v>
      </c>
      <c r="E15" s="150">
        <v>52.048999999999999</v>
      </c>
      <c r="F15" s="4" t="s">
        <v>163</v>
      </c>
      <c r="G15" t="s">
        <v>164</v>
      </c>
      <c r="H15" s="5">
        <v>45413</v>
      </c>
      <c r="I15" s="5">
        <v>51501</v>
      </c>
      <c r="L15">
        <v>6</v>
      </c>
      <c r="M15" s="3">
        <v>0.05</v>
      </c>
      <c r="N15" s="149">
        <f t="shared" si="4"/>
        <v>50</v>
      </c>
      <c r="O15">
        <f t="shared" si="5"/>
        <v>0.30000000000000004</v>
      </c>
      <c r="P15">
        <f t="shared" si="6"/>
        <v>300</v>
      </c>
      <c r="Q15">
        <v>95</v>
      </c>
      <c r="R15" s="150">
        <v>1.5846</v>
      </c>
      <c r="S15" s="4" t="s">
        <v>250</v>
      </c>
      <c r="T15" t="s">
        <v>251</v>
      </c>
      <c r="U15" s="5">
        <v>45413</v>
      </c>
      <c r="V15" s="5">
        <v>51501</v>
      </c>
    </row>
    <row r="16" spans="1:36" x14ac:dyDescent="0.3">
      <c r="A16">
        <v>1</v>
      </c>
      <c r="B16" s="3">
        <f t="shared" si="0"/>
        <v>19.5</v>
      </c>
      <c r="C16">
        <v>19500</v>
      </c>
      <c r="D16">
        <v>95</v>
      </c>
      <c r="E16" s="150">
        <v>54.503</v>
      </c>
      <c r="F16" s="4" t="s">
        <v>165</v>
      </c>
      <c r="G16" t="s">
        <v>166</v>
      </c>
      <c r="H16" s="5">
        <v>45413</v>
      </c>
      <c r="I16" s="5">
        <v>51501</v>
      </c>
      <c r="L16">
        <v>6</v>
      </c>
      <c r="M16" s="3">
        <v>0.75</v>
      </c>
      <c r="N16" s="149">
        <f t="shared" si="4"/>
        <v>750</v>
      </c>
      <c r="O16">
        <f t="shared" si="5"/>
        <v>4.5</v>
      </c>
      <c r="P16">
        <f t="shared" si="6"/>
        <v>4500</v>
      </c>
      <c r="Q16">
        <v>95</v>
      </c>
      <c r="R16" s="150">
        <v>19.994399999999999</v>
      </c>
      <c r="S16" s="4" t="s">
        <v>252</v>
      </c>
      <c r="T16" t="s">
        <v>253</v>
      </c>
      <c r="U16" s="5">
        <v>45413</v>
      </c>
      <c r="V16" s="5">
        <v>51501</v>
      </c>
    </row>
    <row r="17" spans="1:22" x14ac:dyDescent="0.3">
      <c r="A17">
        <v>1</v>
      </c>
      <c r="B17" s="3">
        <f t="shared" si="0"/>
        <v>0.2</v>
      </c>
      <c r="C17">
        <v>200</v>
      </c>
      <c r="D17">
        <v>95</v>
      </c>
      <c r="E17" s="150">
        <v>1.0593999999999999</v>
      </c>
      <c r="F17" s="4" t="s">
        <v>167</v>
      </c>
      <c r="G17" t="s">
        <v>168</v>
      </c>
      <c r="H17" s="5">
        <v>45413</v>
      </c>
      <c r="I17" s="5">
        <v>51501</v>
      </c>
      <c r="L17">
        <v>4</v>
      </c>
      <c r="M17" s="3">
        <v>0.75</v>
      </c>
      <c r="N17" s="149">
        <f t="shared" si="4"/>
        <v>750</v>
      </c>
      <c r="O17">
        <f t="shared" si="5"/>
        <v>3</v>
      </c>
      <c r="P17">
        <f t="shared" si="6"/>
        <v>3000</v>
      </c>
      <c r="Q17">
        <v>95</v>
      </c>
      <c r="R17" s="89">
        <v>13.326000000000001</v>
      </c>
      <c r="S17" t="s">
        <v>843</v>
      </c>
      <c r="T17" t="s">
        <v>844</v>
      </c>
      <c r="U17" s="5">
        <v>45413</v>
      </c>
      <c r="V17" s="5">
        <v>51501</v>
      </c>
    </row>
    <row r="18" spans="1:22" x14ac:dyDescent="0.3">
      <c r="A18">
        <v>1</v>
      </c>
      <c r="B18" s="3">
        <f t="shared" si="0"/>
        <v>2</v>
      </c>
      <c r="C18">
        <v>2000</v>
      </c>
      <c r="D18">
        <v>95</v>
      </c>
      <c r="E18" s="150">
        <v>7.1535000000000002</v>
      </c>
      <c r="F18" s="4" t="s">
        <v>169</v>
      </c>
      <c r="G18" t="s">
        <v>170</v>
      </c>
      <c r="H18" s="5">
        <v>45413</v>
      </c>
      <c r="I18" s="5">
        <v>51501</v>
      </c>
      <c r="L18">
        <v>8</v>
      </c>
      <c r="M18" s="3">
        <v>0.75</v>
      </c>
      <c r="N18" s="149">
        <f t="shared" si="4"/>
        <v>750</v>
      </c>
      <c r="O18">
        <f t="shared" si="5"/>
        <v>6</v>
      </c>
      <c r="P18">
        <f t="shared" si="6"/>
        <v>6000</v>
      </c>
      <c r="Q18">
        <v>95</v>
      </c>
      <c r="R18" s="89">
        <v>26.659099999999999</v>
      </c>
      <c r="S18" t="s">
        <v>841</v>
      </c>
      <c r="T18" t="s">
        <v>842</v>
      </c>
      <c r="U18" s="5">
        <v>45413</v>
      </c>
      <c r="V18" s="5">
        <v>51501</v>
      </c>
    </row>
    <row r="19" spans="1:22" x14ac:dyDescent="0.3">
      <c r="A19">
        <v>1</v>
      </c>
      <c r="B19" s="3">
        <f t="shared" si="0"/>
        <v>20</v>
      </c>
      <c r="C19">
        <v>20000</v>
      </c>
      <c r="D19">
        <v>95</v>
      </c>
      <c r="E19" s="150">
        <v>55.917099999999998</v>
      </c>
      <c r="F19" s="4" t="s">
        <v>171</v>
      </c>
      <c r="G19" t="s">
        <v>172</v>
      </c>
      <c r="H19" s="5">
        <v>45413</v>
      </c>
      <c r="I19" s="5">
        <v>51501</v>
      </c>
      <c r="L19">
        <v>12</v>
      </c>
      <c r="M19" s="3">
        <v>0.05</v>
      </c>
      <c r="N19" s="149">
        <f t="shared" si="4"/>
        <v>50</v>
      </c>
      <c r="O19">
        <f t="shared" si="5"/>
        <v>0.60000000000000009</v>
      </c>
      <c r="P19">
        <f t="shared" si="6"/>
        <v>600</v>
      </c>
      <c r="Q19">
        <v>95</v>
      </c>
      <c r="R19" s="150">
        <v>3.1682999999999999</v>
      </c>
      <c r="S19" s="4" t="s">
        <v>949</v>
      </c>
      <c r="T19" t="s">
        <v>950</v>
      </c>
      <c r="U19" s="5">
        <v>45413</v>
      </c>
      <c r="V19" s="5">
        <v>51501</v>
      </c>
    </row>
    <row r="20" spans="1:22" x14ac:dyDescent="0.3">
      <c r="A20">
        <v>1</v>
      </c>
      <c r="B20" s="3">
        <f t="shared" si="0"/>
        <v>22</v>
      </c>
      <c r="C20">
        <v>22000</v>
      </c>
      <c r="D20">
        <v>95</v>
      </c>
      <c r="E20" s="150">
        <v>61.508800000000001</v>
      </c>
      <c r="F20" s="4" t="s">
        <v>173</v>
      </c>
      <c r="G20" t="s">
        <v>174</v>
      </c>
      <c r="H20" s="5">
        <v>45413</v>
      </c>
      <c r="I20" s="5">
        <v>51501</v>
      </c>
      <c r="M20" s="3"/>
      <c r="N20" s="149"/>
      <c r="R20" s="150"/>
      <c r="S20" s="4"/>
      <c r="U20" s="5"/>
      <c r="V20" s="5"/>
    </row>
    <row r="21" spans="1:22" x14ac:dyDescent="0.3">
      <c r="A21">
        <v>1</v>
      </c>
      <c r="B21" s="3">
        <f t="shared" si="0"/>
        <v>0.25</v>
      </c>
      <c r="C21">
        <v>250</v>
      </c>
      <c r="D21">
        <v>95</v>
      </c>
      <c r="E21" s="150">
        <v>1.3221000000000001</v>
      </c>
      <c r="F21" s="4" t="s">
        <v>175</v>
      </c>
      <c r="G21" t="s">
        <v>176</v>
      </c>
      <c r="H21" s="5">
        <v>45413</v>
      </c>
      <c r="I21" s="5">
        <v>51501</v>
      </c>
    </row>
    <row r="22" spans="1:22" x14ac:dyDescent="0.3">
      <c r="A22">
        <v>1</v>
      </c>
      <c r="B22" s="3">
        <f t="shared" si="0"/>
        <v>2.5</v>
      </c>
      <c r="C22">
        <v>2500</v>
      </c>
      <c r="D22">
        <v>95</v>
      </c>
      <c r="E22" s="150">
        <v>8.9403000000000006</v>
      </c>
      <c r="F22" s="4" t="s">
        <v>177</v>
      </c>
      <c r="G22" t="s">
        <v>178</v>
      </c>
      <c r="H22" s="5">
        <v>45413</v>
      </c>
      <c r="I22" s="5">
        <v>51501</v>
      </c>
    </row>
    <row r="23" spans="1:22" x14ac:dyDescent="0.3">
      <c r="A23">
        <v>1</v>
      </c>
      <c r="B23" s="3">
        <f t="shared" si="0"/>
        <v>2.75</v>
      </c>
      <c r="C23">
        <v>2750</v>
      </c>
      <c r="D23">
        <v>95</v>
      </c>
      <c r="E23" s="150">
        <v>9.5152999999999999</v>
      </c>
      <c r="F23" s="4" t="s">
        <v>179</v>
      </c>
      <c r="G23" t="s">
        <v>180</v>
      </c>
      <c r="H23" s="5">
        <v>45413</v>
      </c>
      <c r="I23" s="5">
        <v>51501</v>
      </c>
    </row>
    <row r="24" spans="1:22" x14ac:dyDescent="0.3">
      <c r="A24">
        <v>1</v>
      </c>
      <c r="B24" s="3">
        <f t="shared" si="0"/>
        <v>28</v>
      </c>
      <c r="C24">
        <v>28000</v>
      </c>
      <c r="D24">
        <v>95</v>
      </c>
      <c r="E24" s="150">
        <v>78.286500000000004</v>
      </c>
      <c r="F24" s="4" t="s">
        <v>181</v>
      </c>
      <c r="G24" t="s">
        <v>182</v>
      </c>
      <c r="H24" s="5">
        <v>45413</v>
      </c>
      <c r="I24" s="5">
        <v>51501</v>
      </c>
    </row>
    <row r="25" spans="1:22" x14ac:dyDescent="0.3">
      <c r="A25">
        <v>1</v>
      </c>
      <c r="B25" s="3">
        <f t="shared" si="0"/>
        <v>0.28999999999999998</v>
      </c>
      <c r="C25">
        <v>290</v>
      </c>
      <c r="D25">
        <v>95</v>
      </c>
      <c r="E25" s="150">
        <v>1.5330999999999999</v>
      </c>
      <c r="F25" s="4" t="s">
        <v>183</v>
      </c>
      <c r="G25" t="s">
        <v>184</v>
      </c>
      <c r="H25" s="5">
        <v>45413</v>
      </c>
      <c r="I25" s="5">
        <v>51501</v>
      </c>
    </row>
    <row r="26" spans="1:22" x14ac:dyDescent="0.3">
      <c r="A26">
        <v>1</v>
      </c>
      <c r="B26" s="3">
        <f t="shared" si="0"/>
        <v>0.3</v>
      </c>
      <c r="C26">
        <v>300</v>
      </c>
      <c r="D26">
        <v>95</v>
      </c>
      <c r="E26" s="150">
        <v>1.5861000000000001</v>
      </c>
      <c r="F26" s="4" t="s">
        <v>185</v>
      </c>
      <c r="G26" t="s">
        <v>186</v>
      </c>
      <c r="H26" s="5">
        <v>45413</v>
      </c>
      <c r="I26" s="5">
        <v>51501</v>
      </c>
    </row>
    <row r="27" spans="1:22" x14ac:dyDescent="0.3">
      <c r="A27">
        <v>1</v>
      </c>
      <c r="B27" s="3">
        <f t="shared" si="0"/>
        <v>3</v>
      </c>
      <c r="C27">
        <v>3000</v>
      </c>
      <c r="D27">
        <v>95</v>
      </c>
      <c r="E27" s="150">
        <v>10.3809</v>
      </c>
      <c r="F27" s="4" t="s">
        <v>187</v>
      </c>
      <c r="G27" t="s">
        <v>188</v>
      </c>
      <c r="H27" s="5">
        <v>45413</v>
      </c>
      <c r="I27" s="5">
        <v>51501</v>
      </c>
      <c r="T27" s="69"/>
      <c r="U27" s="69"/>
      <c r="V27" s="78"/>
    </row>
    <row r="28" spans="1:22" x14ac:dyDescent="0.3">
      <c r="A28">
        <v>1</v>
      </c>
      <c r="B28" s="3">
        <f t="shared" si="0"/>
        <v>0.33</v>
      </c>
      <c r="C28">
        <v>330</v>
      </c>
      <c r="D28">
        <v>95</v>
      </c>
      <c r="E28" s="150">
        <v>1.7551000000000001</v>
      </c>
      <c r="F28" s="4" t="s">
        <v>189</v>
      </c>
      <c r="G28" t="s">
        <v>190</v>
      </c>
      <c r="H28" s="5">
        <v>45413</v>
      </c>
      <c r="I28" s="5">
        <v>51501</v>
      </c>
      <c r="T28" s="69"/>
      <c r="U28" s="69"/>
      <c r="V28" s="78"/>
    </row>
    <row r="29" spans="1:22" x14ac:dyDescent="0.3">
      <c r="A29">
        <v>1</v>
      </c>
      <c r="B29" s="3">
        <f t="shared" si="0"/>
        <v>0.35</v>
      </c>
      <c r="C29">
        <v>350</v>
      </c>
      <c r="D29">
        <v>95</v>
      </c>
      <c r="E29" s="150">
        <v>1.8507</v>
      </c>
      <c r="F29" s="4" t="s">
        <v>191</v>
      </c>
      <c r="G29" t="s">
        <v>192</v>
      </c>
      <c r="H29" s="5">
        <v>45413</v>
      </c>
      <c r="I29" s="5">
        <v>51501</v>
      </c>
    </row>
    <row r="30" spans="1:22" x14ac:dyDescent="0.3">
      <c r="A30">
        <v>1</v>
      </c>
      <c r="B30" s="3">
        <f t="shared" si="0"/>
        <v>0.375</v>
      </c>
      <c r="C30">
        <v>375</v>
      </c>
      <c r="D30">
        <v>95</v>
      </c>
      <c r="E30" s="150">
        <v>1.9829000000000001</v>
      </c>
      <c r="F30" s="4" t="s">
        <v>193</v>
      </c>
      <c r="G30" t="s">
        <v>194</v>
      </c>
      <c r="H30" s="5">
        <v>45413</v>
      </c>
      <c r="I30" s="5">
        <v>51501</v>
      </c>
      <c r="T30" s="69"/>
      <c r="U30" s="69"/>
      <c r="V30" s="78"/>
    </row>
    <row r="31" spans="1:22" x14ac:dyDescent="0.3">
      <c r="A31">
        <v>1</v>
      </c>
      <c r="B31" s="3">
        <f t="shared" si="0"/>
        <v>4</v>
      </c>
      <c r="C31">
        <v>4000</v>
      </c>
      <c r="D31">
        <v>95</v>
      </c>
      <c r="E31" s="150">
        <v>12.8085</v>
      </c>
      <c r="F31" s="4" t="s">
        <v>195</v>
      </c>
      <c r="G31" t="s">
        <v>196</v>
      </c>
      <c r="H31" s="5">
        <v>45413</v>
      </c>
      <c r="I31" s="5">
        <v>51501</v>
      </c>
      <c r="T31" s="69"/>
      <c r="U31" s="69"/>
      <c r="V31" s="78"/>
    </row>
    <row r="32" spans="1:22" x14ac:dyDescent="0.3">
      <c r="A32">
        <v>1</v>
      </c>
      <c r="B32" s="3">
        <f t="shared" si="0"/>
        <v>4.5</v>
      </c>
      <c r="C32">
        <v>4500</v>
      </c>
      <c r="D32">
        <v>95</v>
      </c>
      <c r="E32" s="150">
        <v>14.407999999999999</v>
      </c>
      <c r="F32" s="4" t="s">
        <v>197</v>
      </c>
      <c r="G32" t="s">
        <v>198</v>
      </c>
      <c r="H32" s="5">
        <v>45413</v>
      </c>
      <c r="I32" s="5">
        <v>51501</v>
      </c>
      <c r="T32" s="69"/>
      <c r="U32" s="69"/>
      <c r="V32" s="78"/>
    </row>
    <row r="33" spans="1:22" x14ac:dyDescent="0.3">
      <c r="A33">
        <v>1</v>
      </c>
      <c r="B33" s="3">
        <f t="shared" si="0"/>
        <v>0.05</v>
      </c>
      <c r="C33">
        <v>50</v>
      </c>
      <c r="D33">
        <v>95</v>
      </c>
      <c r="E33" s="150">
        <v>0.26390000000000002</v>
      </c>
      <c r="F33" s="4" t="s">
        <v>199</v>
      </c>
      <c r="G33" t="s">
        <v>200</v>
      </c>
      <c r="H33" s="5">
        <v>45413</v>
      </c>
      <c r="I33" s="5">
        <v>51501</v>
      </c>
      <c r="T33" s="69"/>
      <c r="U33" s="69"/>
      <c r="V33" s="78"/>
    </row>
    <row r="34" spans="1:22" x14ac:dyDescent="0.3">
      <c r="A34">
        <v>1</v>
      </c>
      <c r="B34" s="3">
        <f t="shared" si="0"/>
        <v>0.5</v>
      </c>
      <c r="C34">
        <v>500</v>
      </c>
      <c r="D34">
        <v>95</v>
      </c>
      <c r="E34" s="150">
        <v>2.6463000000000001</v>
      </c>
      <c r="F34" s="4" t="s">
        <v>201</v>
      </c>
      <c r="G34" t="s">
        <v>202</v>
      </c>
      <c r="H34" s="5">
        <v>45413</v>
      </c>
      <c r="I34" s="5">
        <v>51501</v>
      </c>
      <c r="T34" s="69"/>
      <c r="U34" s="69"/>
      <c r="V34" s="78"/>
    </row>
    <row r="35" spans="1:22" x14ac:dyDescent="0.3">
      <c r="A35">
        <v>1</v>
      </c>
      <c r="B35" s="3">
        <f t="shared" si="0"/>
        <v>5</v>
      </c>
      <c r="C35">
        <v>5000</v>
      </c>
      <c r="D35">
        <v>95</v>
      </c>
      <c r="E35" s="150">
        <v>16.010000000000002</v>
      </c>
      <c r="F35" s="4" t="s">
        <v>203</v>
      </c>
      <c r="G35" t="s">
        <v>204</v>
      </c>
      <c r="H35" s="5">
        <v>45413</v>
      </c>
      <c r="I35" s="5">
        <v>51501</v>
      </c>
      <c r="T35" s="69"/>
      <c r="U35" s="69"/>
      <c r="V35" s="78"/>
    </row>
    <row r="36" spans="1:22" x14ac:dyDescent="0.3">
      <c r="A36">
        <v>1</v>
      </c>
      <c r="B36" s="3">
        <f t="shared" si="0"/>
        <v>6</v>
      </c>
      <c r="C36">
        <v>6000</v>
      </c>
      <c r="D36">
        <v>95</v>
      </c>
      <c r="E36" s="150">
        <v>19.212599999999998</v>
      </c>
      <c r="F36" s="4" t="s">
        <v>205</v>
      </c>
      <c r="G36" t="s">
        <v>206</v>
      </c>
      <c r="H36" s="5">
        <v>45413</v>
      </c>
      <c r="I36" s="5">
        <v>51501</v>
      </c>
      <c r="T36" s="69"/>
      <c r="U36" s="69"/>
      <c r="V36" s="78"/>
    </row>
    <row r="37" spans="1:22" x14ac:dyDescent="0.3">
      <c r="A37">
        <v>1</v>
      </c>
      <c r="B37" s="3">
        <f t="shared" si="0"/>
        <v>0.62</v>
      </c>
      <c r="C37">
        <v>620</v>
      </c>
      <c r="D37">
        <v>95</v>
      </c>
      <c r="E37" s="150">
        <v>2.7547000000000001</v>
      </c>
      <c r="F37" s="4" t="s">
        <v>207</v>
      </c>
      <c r="G37" t="s">
        <v>208</v>
      </c>
      <c r="H37" s="5">
        <v>45413</v>
      </c>
      <c r="I37" s="5">
        <v>51501</v>
      </c>
      <c r="T37" s="69"/>
      <c r="U37" s="69"/>
      <c r="V37" s="78"/>
    </row>
    <row r="38" spans="1:22" x14ac:dyDescent="0.3">
      <c r="A38">
        <v>1</v>
      </c>
      <c r="B38" s="3">
        <f t="shared" si="0"/>
        <v>0.7</v>
      </c>
      <c r="C38">
        <v>700</v>
      </c>
      <c r="D38">
        <v>95</v>
      </c>
      <c r="E38" s="150">
        <v>3.1107</v>
      </c>
      <c r="F38" s="4" t="s">
        <v>209</v>
      </c>
      <c r="G38" t="s">
        <v>210</v>
      </c>
      <c r="H38" s="5">
        <v>45413</v>
      </c>
      <c r="I38" s="5">
        <v>51501</v>
      </c>
      <c r="T38" s="69"/>
      <c r="U38" s="69"/>
      <c r="V38" s="78"/>
    </row>
    <row r="39" spans="1:22" x14ac:dyDescent="0.3">
      <c r="A39">
        <v>1</v>
      </c>
      <c r="B39" s="3">
        <f t="shared" si="0"/>
        <v>0.72</v>
      </c>
      <c r="C39">
        <v>720</v>
      </c>
      <c r="D39">
        <v>95</v>
      </c>
      <c r="E39" s="150">
        <v>3.1987999999999999</v>
      </c>
      <c r="F39" s="4" t="s">
        <v>211</v>
      </c>
      <c r="G39" t="s">
        <v>212</v>
      </c>
      <c r="H39" s="5">
        <v>45413</v>
      </c>
      <c r="I39" s="5">
        <v>51501</v>
      </c>
      <c r="T39" s="69"/>
      <c r="U39" s="69"/>
      <c r="V39" s="78"/>
    </row>
    <row r="40" spans="1:22" x14ac:dyDescent="0.3">
      <c r="A40">
        <v>1</v>
      </c>
      <c r="B40" s="3">
        <f t="shared" si="0"/>
        <v>0.73</v>
      </c>
      <c r="C40">
        <v>730</v>
      </c>
      <c r="D40">
        <v>95</v>
      </c>
      <c r="E40" s="150">
        <v>3.2429000000000001</v>
      </c>
      <c r="F40" s="4" t="s">
        <v>213</v>
      </c>
      <c r="G40" t="s">
        <v>214</v>
      </c>
      <c r="H40" s="5">
        <v>45413</v>
      </c>
      <c r="I40" s="5">
        <v>51501</v>
      </c>
      <c r="T40" s="69"/>
      <c r="U40" s="69"/>
      <c r="V40" s="78"/>
    </row>
    <row r="41" spans="1:22" x14ac:dyDescent="0.3">
      <c r="A41">
        <v>1</v>
      </c>
      <c r="B41" s="3">
        <f t="shared" si="0"/>
        <v>0.75</v>
      </c>
      <c r="C41">
        <v>750</v>
      </c>
      <c r="D41">
        <v>95</v>
      </c>
      <c r="E41" s="150">
        <v>3.3323999999999998</v>
      </c>
      <c r="F41" s="4" t="s">
        <v>215</v>
      </c>
      <c r="G41" t="s">
        <v>216</v>
      </c>
      <c r="H41" s="5">
        <v>45413</v>
      </c>
      <c r="I41" s="5">
        <v>51501</v>
      </c>
      <c r="T41" s="69"/>
      <c r="U41" s="69"/>
      <c r="V41" s="78"/>
    </row>
    <row r="42" spans="1:22" x14ac:dyDescent="0.3">
      <c r="A42">
        <v>1</v>
      </c>
      <c r="B42" s="3">
        <f t="shared" si="0"/>
        <v>0.9</v>
      </c>
      <c r="C42">
        <v>900</v>
      </c>
      <c r="D42">
        <v>95</v>
      </c>
      <c r="E42" s="150">
        <v>3.4306999999999999</v>
      </c>
      <c r="F42" s="4" t="s">
        <v>217</v>
      </c>
      <c r="G42" t="s">
        <v>218</v>
      </c>
      <c r="H42" s="5">
        <v>45413</v>
      </c>
      <c r="I42" s="5">
        <v>51501</v>
      </c>
      <c r="T42" s="69"/>
      <c r="U42" s="69"/>
      <c r="V42" s="78"/>
    </row>
    <row r="43" spans="1:22" x14ac:dyDescent="0.3">
      <c r="A43">
        <v>1</v>
      </c>
      <c r="B43" s="3">
        <f t="shared" si="0"/>
        <v>9</v>
      </c>
      <c r="C43">
        <v>9000</v>
      </c>
      <c r="D43">
        <v>95</v>
      </c>
      <c r="E43" s="150">
        <v>24.814399999999999</v>
      </c>
      <c r="F43" s="4" t="s">
        <v>219</v>
      </c>
      <c r="G43" t="s">
        <v>220</v>
      </c>
      <c r="H43" s="5">
        <v>45413</v>
      </c>
      <c r="I43" s="5">
        <v>51501</v>
      </c>
      <c r="T43" s="69"/>
      <c r="U43" s="69"/>
      <c r="V43" s="78"/>
    </row>
    <row r="44" spans="1:22" x14ac:dyDescent="0.3">
      <c r="A44">
        <v>1</v>
      </c>
      <c r="B44" s="3">
        <f t="shared" si="0"/>
        <v>1.2</v>
      </c>
      <c r="C44">
        <v>1200</v>
      </c>
      <c r="D44">
        <v>95</v>
      </c>
      <c r="E44" s="150">
        <v>4.4362000000000004</v>
      </c>
      <c r="F44" s="4" t="s">
        <v>825</v>
      </c>
      <c r="G44" t="s">
        <v>826</v>
      </c>
      <c r="H44" s="5">
        <v>45413</v>
      </c>
      <c r="I44" s="5">
        <v>51501</v>
      </c>
      <c r="T44" s="69"/>
      <c r="U44" s="69"/>
      <c r="V44" s="78"/>
    </row>
    <row r="45" spans="1:22" x14ac:dyDescent="0.3">
      <c r="A45">
        <v>1</v>
      </c>
      <c r="B45" s="3">
        <f t="shared" si="0"/>
        <v>2.25</v>
      </c>
      <c r="C45">
        <v>2250</v>
      </c>
      <c r="D45">
        <v>95</v>
      </c>
      <c r="E45" s="150">
        <v>6.3586</v>
      </c>
      <c r="F45" t="s">
        <v>827</v>
      </c>
      <c r="G45" t="s">
        <v>828</v>
      </c>
      <c r="H45" s="5">
        <v>45413</v>
      </c>
      <c r="I45" s="5">
        <v>51501</v>
      </c>
      <c r="T45" s="69"/>
      <c r="U45" s="69"/>
      <c r="V45" s="78"/>
    </row>
    <row r="46" spans="1:22" x14ac:dyDescent="0.3">
      <c r="A46">
        <v>1</v>
      </c>
      <c r="B46" s="3">
        <f t="shared" si="0"/>
        <v>30</v>
      </c>
      <c r="C46">
        <v>30000</v>
      </c>
      <c r="D46">
        <v>95</v>
      </c>
      <c r="E46" s="150">
        <v>83.846199999999996</v>
      </c>
      <c r="F46" t="s">
        <v>829</v>
      </c>
      <c r="G46" t="s">
        <v>830</v>
      </c>
      <c r="H46" s="5">
        <v>45413</v>
      </c>
      <c r="I46" s="5">
        <v>51501</v>
      </c>
      <c r="T46" s="69"/>
      <c r="U46" s="69"/>
      <c r="V46" s="78"/>
    </row>
    <row r="47" spans="1:22" x14ac:dyDescent="0.3">
      <c r="A47">
        <v>1</v>
      </c>
      <c r="B47" s="3">
        <f t="shared" si="0"/>
        <v>0.35499999999999998</v>
      </c>
      <c r="C47">
        <v>355</v>
      </c>
      <c r="D47">
        <v>95</v>
      </c>
      <c r="E47" s="89">
        <v>1.8880999999999999</v>
      </c>
      <c r="F47" t="s">
        <v>831</v>
      </c>
      <c r="G47" t="s">
        <v>832</v>
      </c>
      <c r="H47" s="5">
        <v>45413</v>
      </c>
      <c r="I47" s="5">
        <v>51501</v>
      </c>
      <c r="T47" s="69"/>
      <c r="U47" s="69"/>
      <c r="V47" s="78"/>
    </row>
    <row r="48" spans="1:22" x14ac:dyDescent="0.3">
      <c r="A48">
        <v>1</v>
      </c>
      <c r="B48" s="3">
        <f t="shared" si="0"/>
        <v>3.75</v>
      </c>
      <c r="C48">
        <v>3750</v>
      </c>
      <c r="D48">
        <v>95</v>
      </c>
      <c r="E48" s="89">
        <v>12.976000000000001</v>
      </c>
      <c r="F48" t="s">
        <v>833</v>
      </c>
      <c r="G48" t="s">
        <v>834</v>
      </c>
      <c r="H48" s="5">
        <v>45413</v>
      </c>
      <c r="I48" s="5">
        <v>51501</v>
      </c>
      <c r="T48" s="69"/>
      <c r="U48" s="69"/>
      <c r="V48" s="78"/>
    </row>
    <row r="49" spans="1:22" x14ac:dyDescent="0.3">
      <c r="A49">
        <v>1</v>
      </c>
      <c r="B49" s="3">
        <f t="shared" si="0"/>
        <v>0.47299999999999998</v>
      </c>
      <c r="C49">
        <v>473</v>
      </c>
      <c r="D49">
        <v>95</v>
      </c>
      <c r="E49" s="89">
        <v>2.16</v>
      </c>
      <c r="F49" t="s">
        <v>835</v>
      </c>
      <c r="G49" t="s">
        <v>836</v>
      </c>
      <c r="H49" s="5">
        <v>45413</v>
      </c>
      <c r="I49" s="5">
        <v>51501</v>
      </c>
      <c r="T49" s="69"/>
      <c r="U49" s="69"/>
      <c r="V49" s="78"/>
    </row>
    <row r="50" spans="1:22" x14ac:dyDescent="0.3">
      <c r="A50">
        <v>1</v>
      </c>
      <c r="B50" s="3">
        <f t="shared" si="0"/>
        <v>4.8</v>
      </c>
      <c r="C50">
        <v>4800</v>
      </c>
      <c r="D50">
        <v>95</v>
      </c>
      <c r="E50" s="89">
        <v>15.3695</v>
      </c>
      <c r="F50" t="s">
        <v>837</v>
      </c>
      <c r="G50" t="s">
        <v>838</v>
      </c>
      <c r="H50" s="5">
        <v>45413</v>
      </c>
      <c r="I50" s="5">
        <v>51501</v>
      </c>
      <c r="T50" s="69"/>
      <c r="U50" s="69"/>
      <c r="V50" s="78"/>
    </row>
    <row r="51" spans="1:22" x14ac:dyDescent="0.3">
      <c r="A51">
        <v>1</v>
      </c>
      <c r="B51" s="3">
        <f t="shared" si="0"/>
        <v>0.65</v>
      </c>
      <c r="C51">
        <v>650</v>
      </c>
      <c r="D51">
        <v>95</v>
      </c>
      <c r="E51" s="89">
        <v>2.8372999999999999</v>
      </c>
      <c r="F51" t="s">
        <v>839</v>
      </c>
      <c r="G51" t="s">
        <v>840</v>
      </c>
      <c r="H51" s="5">
        <v>45413</v>
      </c>
      <c r="I51" s="5">
        <v>51501</v>
      </c>
      <c r="T51" s="69"/>
      <c r="U51" s="69"/>
      <c r="V51" s="78"/>
    </row>
    <row r="52" spans="1:22" x14ac:dyDescent="0.3">
      <c r="A52">
        <v>1</v>
      </c>
      <c r="B52">
        <v>50</v>
      </c>
      <c r="C52">
        <v>50000</v>
      </c>
      <c r="D52">
        <v>95</v>
      </c>
      <c r="E52" s="89">
        <v>139.70429999999999</v>
      </c>
      <c r="F52" t="s">
        <v>1262</v>
      </c>
      <c r="G52" t="s">
        <v>1314</v>
      </c>
      <c r="H52" s="5">
        <v>45413</v>
      </c>
      <c r="I52" s="5">
        <v>51501</v>
      </c>
      <c r="T52" s="69"/>
      <c r="U52" s="69"/>
      <c r="V52" s="78"/>
    </row>
    <row r="53" spans="1:22" x14ac:dyDescent="0.3">
      <c r="T53" s="69"/>
      <c r="U53" s="69"/>
      <c r="V53" s="78"/>
    </row>
    <row r="54" spans="1:22" x14ac:dyDescent="0.3">
      <c r="T54" s="69"/>
      <c r="U54" s="69"/>
      <c r="V54" s="78"/>
    </row>
    <row r="55" spans="1:22" x14ac:dyDescent="0.3">
      <c r="T55" s="69"/>
      <c r="U55" s="69"/>
      <c r="V55" s="78"/>
    </row>
    <row r="56" spans="1:22" x14ac:dyDescent="0.3">
      <c r="T56" s="69"/>
      <c r="U56" s="69"/>
      <c r="V56" s="78"/>
    </row>
    <row r="57" spans="1:22" x14ac:dyDescent="0.3">
      <c r="T57" s="69"/>
      <c r="U57" s="69"/>
      <c r="V57" s="78"/>
    </row>
    <row r="58" spans="1:22" x14ac:dyDescent="0.3">
      <c r="T58" s="69"/>
      <c r="U58" s="69"/>
      <c r="V58" s="78"/>
    </row>
    <row r="59" spans="1:22" x14ac:dyDescent="0.3">
      <c r="T59" s="69"/>
      <c r="U59" s="69"/>
      <c r="V59" s="78"/>
    </row>
    <row r="60" spans="1:22" x14ac:dyDescent="0.3">
      <c r="T60" s="69"/>
      <c r="U60" s="69"/>
      <c r="V60" s="78"/>
    </row>
    <row r="61" spans="1:22" x14ac:dyDescent="0.3">
      <c r="T61" s="69"/>
      <c r="U61" s="69"/>
      <c r="V61" s="78"/>
    </row>
    <row r="62" spans="1:22" x14ac:dyDescent="0.3">
      <c r="T62" s="69"/>
      <c r="U62" s="69"/>
      <c r="V62" s="78"/>
    </row>
    <row r="63" spans="1:22" x14ac:dyDescent="0.3">
      <c r="T63" s="69"/>
      <c r="U63" s="69"/>
      <c r="V63" s="78"/>
    </row>
    <row r="64" spans="1:22" x14ac:dyDescent="0.3">
      <c r="T64" s="69"/>
      <c r="U64" s="69"/>
      <c r="V64" s="78"/>
    </row>
    <row r="65" spans="20:22" x14ac:dyDescent="0.3">
      <c r="T65" s="69"/>
      <c r="U65" s="69"/>
      <c r="V65" s="78"/>
    </row>
    <row r="66" spans="20:22" x14ac:dyDescent="0.3">
      <c r="T66" s="69"/>
      <c r="U66" s="69"/>
      <c r="V66" s="78"/>
    </row>
    <row r="67" spans="20:22" x14ac:dyDescent="0.3">
      <c r="T67" s="69"/>
      <c r="U67" s="69"/>
      <c r="V67" s="78"/>
    </row>
    <row r="68" spans="20:22" x14ac:dyDescent="0.3">
      <c r="T68" s="69"/>
      <c r="U68" s="69"/>
      <c r="V68" s="78"/>
    </row>
    <row r="69" spans="20:22" x14ac:dyDescent="0.3">
      <c r="T69" s="69"/>
      <c r="U69" s="69"/>
      <c r="V69" s="78"/>
    </row>
    <row r="70" spans="20:22" x14ac:dyDescent="0.3">
      <c r="T70" s="69"/>
      <c r="U70" s="69"/>
      <c r="V70" s="78"/>
    </row>
    <row r="71" spans="20:22" x14ac:dyDescent="0.3">
      <c r="T71" s="69"/>
      <c r="U71" s="69"/>
      <c r="V71" s="78"/>
    </row>
    <row r="72" spans="20:22" x14ac:dyDescent="0.3">
      <c r="T72" s="69"/>
      <c r="U72" s="69"/>
      <c r="V72" s="78"/>
    </row>
    <row r="73" spans="20:22" x14ac:dyDescent="0.3">
      <c r="T73" s="69"/>
      <c r="U73" s="69"/>
      <c r="V73" s="78"/>
    </row>
    <row r="74" spans="20:22" x14ac:dyDescent="0.3">
      <c r="T74" s="69"/>
      <c r="U74" s="69"/>
      <c r="V74" s="78"/>
    </row>
    <row r="75" spans="20:22" x14ac:dyDescent="0.3">
      <c r="T75" s="69"/>
      <c r="U75" s="69"/>
      <c r="V75" s="78"/>
    </row>
    <row r="76" spans="20:22" x14ac:dyDescent="0.3">
      <c r="T76" s="69"/>
      <c r="U76" s="69"/>
      <c r="V76" s="78"/>
    </row>
    <row r="77" spans="20:22" x14ac:dyDescent="0.3">
      <c r="T77" s="69"/>
      <c r="U77" s="69"/>
      <c r="V77" s="78"/>
    </row>
    <row r="84" ht="13.5" customHeight="1" x14ac:dyDescent="0.3"/>
    <row r="86" ht="13.5" customHeight="1" x14ac:dyDescent="0.3"/>
  </sheetData>
  <conditionalFormatting sqref="B4:B43 B2">
    <cfRule type="duplicateValues" dxfId="25" priority="13"/>
  </conditionalFormatting>
  <conditionalFormatting sqref="B44">
    <cfRule type="duplicateValues" dxfId="24" priority="12"/>
  </conditionalFormatting>
  <conditionalFormatting sqref="B45">
    <cfRule type="duplicateValues" dxfId="23" priority="11"/>
  </conditionalFormatting>
  <conditionalFormatting sqref="B46">
    <cfRule type="duplicateValues" dxfId="22" priority="10"/>
  </conditionalFormatting>
  <conditionalFormatting sqref="B47">
    <cfRule type="duplicateValues" dxfId="21" priority="9"/>
  </conditionalFormatting>
  <conditionalFormatting sqref="B48">
    <cfRule type="duplicateValues" dxfId="20" priority="8"/>
  </conditionalFormatting>
  <conditionalFormatting sqref="B49:B50">
    <cfRule type="duplicateValues" dxfId="19" priority="7"/>
  </conditionalFormatting>
  <conditionalFormatting sqref="B51">
    <cfRule type="duplicateValues" dxfId="18" priority="6"/>
  </conditionalFormatting>
  <conditionalFormatting sqref="M2">
    <cfRule type="duplicateValues" dxfId="17" priority="5"/>
  </conditionalFormatting>
  <conditionalFormatting sqref="C1:C1048576 D52">
    <cfRule type="duplicateValues" dxfId="16" priority="4"/>
  </conditionalFormatting>
  <conditionalFormatting sqref="O3:P19">
    <cfRule type="duplicateValues" dxfId="15" priority="47"/>
  </conditionalFormatting>
  <conditionalFormatting sqref="O20:P20">
    <cfRule type="duplicateValues" dxfId="14" priority="2"/>
  </conditionalFormatting>
  <conditionalFormatting sqref="C1:C1048576">
    <cfRule type="duplicateValues" dxfId="13" priority="1"/>
  </conditionalFormatting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499984740745262"/>
  </sheetPr>
  <dimension ref="A1:AF54"/>
  <sheetViews>
    <sheetView topLeftCell="B13" workbookViewId="0">
      <selection activeCell="T24" sqref="T24"/>
    </sheetView>
  </sheetViews>
  <sheetFormatPr defaultRowHeight="14.4" x14ac:dyDescent="0.3"/>
  <cols>
    <col min="5" max="5" width="17.21875" style="89" bestFit="1" customWidth="1"/>
    <col min="7" max="7" width="26.77734375" bestFit="1" customWidth="1"/>
    <col min="8" max="8" width="12.44140625" bestFit="1" customWidth="1"/>
    <col min="9" max="9" width="10.77734375" bestFit="1" customWidth="1"/>
    <col min="10" max="10" width="2.21875" customWidth="1"/>
    <col min="18" max="18" width="16.109375" style="89" bestFit="1" customWidth="1"/>
    <col min="19" max="19" width="16.5546875" bestFit="1" customWidth="1"/>
    <col min="20" max="20" width="26.77734375" bestFit="1" customWidth="1"/>
    <col min="21" max="21" width="13.5546875" bestFit="1" customWidth="1"/>
    <col min="22" max="22" width="11" bestFit="1" customWidth="1"/>
    <col min="23" max="23" width="1.77734375" customWidth="1"/>
  </cols>
  <sheetData>
    <row r="1" spans="1:32" x14ac:dyDescent="0.3">
      <c r="A1" s="1" t="s">
        <v>0</v>
      </c>
      <c r="B1" s="1" t="s">
        <v>1</v>
      </c>
      <c r="C1" s="1" t="s">
        <v>2</v>
      </c>
      <c r="D1" s="1" t="s">
        <v>3</v>
      </c>
      <c r="E1" s="15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6"/>
      <c r="L1" s="1" t="s">
        <v>0</v>
      </c>
      <c r="M1" s="1" t="s">
        <v>1</v>
      </c>
      <c r="N1" s="1" t="s">
        <v>2</v>
      </c>
      <c r="O1" s="1" t="s">
        <v>86</v>
      </c>
      <c r="P1" s="1" t="s">
        <v>1398</v>
      </c>
      <c r="Q1" s="1" t="s">
        <v>3</v>
      </c>
      <c r="R1" s="152" t="s">
        <v>4</v>
      </c>
      <c r="S1" s="1" t="s">
        <v>5</v>
      </c>
      <c r="T1" s="1" t="s">
        <v>6</v>
      </c>
      <c r="U1" s="1" t="s">
        <v>7</v>
      </c>
      <c r="V1" s="1" t="s">
        <v>8</v>
      </c>
      <c r="W1" s="7"/>
    </row>
    <row r="2" spans="1:32" x14ac:dyDescent="0.3">
      <c r="A2">
        <v>1</v>
      </c>
      <c r="B2" s="3">
        <f t="shared" ref="B2:B45" si="0">C2/1000</f>
        <v>0.05</v>
      </c>
      <c r="C2">
        <v>50</v>
      </c>
      <c r="D2">
        <v>95</v>
      </c>
      <c r="E2" s="150">
        <v>0.16270000000000001</v>
      </c>
      <c r="F2" s="4" t="s">
        <v>254</v>
      </c>
      <c r="G2" t="s">
        <v>255</v>
      </c>
      <c r="H2" s="5">
        <v>45413</v>
      </c>
      <c r="I2" s="5">
        <v>51501</v>
      </c>
      <c r="J2" s="8"/>
      <c r="L2">
        <v>2</v>
      </c>
      <c r="M2" s="149">
        <v>0.27500000000000002</v>
      </c>
      <c r="N2">
        <v>275</v>
      </c>
      <c r="O2" s="149">
        <v>0.55000000000000004</v>
      </c>
      <c r="P2" s="149">
        <v>550</v>
      </c>
      <c r="Q2">
        <v>95</v>
      </c>
      <c r="R2" s="150">
        <v>1.7901</v>
      </c>
      <c r="S2" s="4" t="s">
        <v>256</v>
      </c>
      <c r="T2" t="s">
        <v>257</v>
      </c>
      <c r="U2" s="5">
        <v>45413</v>
      </c>
      <c r="V2" s="5">
        <v>51501</v>
      </c>
      <c r="W2" s="7"/>
      <c r="AE2" s="69"/>
      <c r="AF2" s="78"/>
    </row>
    <row r="3" spans="1:32" x14ac:dyDescent="0.3">
      <c r="A3">
        <v>1</v>
      </c>
      <c r="B3" s="3">
        <f t="shared" si="0"/>
        <v>0.1</v>
      </c>
      <c r="C3">
        <v>100</v>
      </c>
      <c r="D3">
        <v>95</v>
      </c>
      <c r="E3" s="150">
        <v>0.314</v>
      </c>
      <c r="F3" s="4" t="s">
        <v>258</v>
      </c>
      <c r="G3" t="s">
        <v>259</v>
      </c>
      <c r="H3" s="5">
        <v>45413</v>
      </c>
      <c r="I3" s="5">
        <v>51501</v>
      </c>
      <c r="J3" s="8"/>
      <c r="L3">
        <v>4</v>
      </c>
      <c r="M3" s="149">
        <v>0.25</v>
      </c>
      <c r="N3">
        <v>250</v>
      </c>
      <c r="O3" s="149">
        <v>1</v>
      </c>
      <c r="P3" s="149">
        <v>1000</v>
      </c>
      <c r="Q3">
        <v>95</v>
      </c>
      <c r="R3" s="150">
        <v>3.2544</v>
      </c>
      <c r="S3" s="4" t="s">
        <v>260</v>
      </c>
      <c r="T3" t="s">
        <v>261</v>
      </c>
      <c r="U3" s="5">
        <v>45413</v>
      </c>
      <c r="V3" s="5">
        <v>51501</v>
      </c>
      <c r="W3" s="7"/>
      <c r="AE3" s="69"/>
      <c r="AF3" s="78"/>
    </row>
    <row r="4" spans="1:32" x14ac:dyDescent="0.3">
      <c r="A4">
        <v>1</v>
      </c>
      <c r="B4" s="3">
        <f t="shared" si="0"/>
        <v>0.187</v>
      </c>
      <c r="C4">
        <v>187</v>
      </c>
      <c r="D4">
        <v>95</v>
      </c>
      <c r="E4" s="150">
        <v>0.60860000000000003</v>
      </c>
      <c r="F4" s="4" t="s">
        <v>262</v>
      </c>
      <c r="G4" t="s">
        <v>263</v>
      </c>
      <c r="H4" s="5">
        <v>45413</v>
      </c>
      <c r="I4" s="5">
        <v>51501</v>
      </c>
      <c r="J4" s="8"/>
      <c r="L4">
        <v>4</v>
      </c>
      <c r="M4" s="149">
        <v>0.27500000000000002</v>
      </c>
      <c r="N4">
        <v>275</v>
      </c>
      <c r="O4" s="149">
        <v>1.1000000000000001</v>
      </c>
      <c r="P4" s="149">
        <v>1100</v>
      </c>
      <c r="Q4">
        <v>95</v>
      </c>
      <c r="R4" s="150">
        <v>3.5806</v>
      </c>
      <c r="S4" s="4" t="s">
        <v>264</v>
      </c>
      <c r="T4" t="s">
        <v>265</v>
      </c>
      <c r="U4" s="5">
        <v>45413</v>
      </c>
      <c r="V4" s="5">
        <v>51501</v>
      </c>
      <c r="W4" s="7"/>
      <c r="AE4" s="69"/>
      <c r="AF4" s="78"/>
    </row>
    <row r="5" spans="1:32" x14ac:dyDescent="0.3">
      <c r="A5">
        <v>1</v>
      </c>
      <c r="B5" s="3">
        <f t="shared" si="0"/>
        <v>0.2</v>
      </c>
      <c r="C5">
        <v>200</v>
      </c>
      <c r="D5">
        <v>95</v>
      </c>
      <c r="E5" s="150">
        <v>0.6512</v>
      </c>
      <c r="F5" s="4" t="s">
        <v>266</v>
      </c>
      <c r="G5" t="s">
        <v>267</v>
      </c>
      <c r="H5" s="5">
        <v>45413</v>
      </c>
      <c r="I5" s="5">
        <v>51501</v>
      </c>
      <c r="J5" s="8"/>
      <c r="L5">
        <v>4</v>
      </c>
      <c r="M5" s="149">
        <v>0.3</v>
      </c>
      <c r="N5">
        <v>300</v>
      </c>
      <c r="O5" s="149">
        <v>1.2</v>
      </c>
      <c r="P5" s="149">
        <v>1200</v>
      </c>
      <c r="Q5">
        <v>95</v>
      </c>
      <c r="R5" s="150">
        <v>3.907</v>
      </c>
      <c r="S5" s="4" t="s">
        <v>268</v>
      </c>
      <c r="T5" t="s">
        <v>269</v>
      </c>
      <c r="U5" s="5">
        <v>45413</v>
      </c>
      <c r="V5" s="5">
        <v>51501</v>
      </c>
      <c r="W5" s="7"/>
      <c r="AE5" s="69"/>
      <c r="AF5" s="78"/>
    </row>
    <row r="6" spans="1:32" x14ac:dyDescent="0.3">
      <c r="A6">
        <v>1</v>
      </c>
      <c r="B6" s="3">
        <f t="shared" si="0"/>
        <v>0.23699999999999999</v>
      </c>
      <c r="C6">
        <v>237</v>
      </c>
      <c r="D6">
        <v>95</v>
      </c>
      <c r="E6" s="150">
        <v>0.77100000000000002</v>
      </c>
      <c r="F6" s="4" t="s">
        <v>270</v>
      </c>
      <c r="G6" t="s">
        <v>271</v>
      </c>
      <c r="H6" s="5">
        <v>45413</v>
      </c>
      <c r="I6" s="5">
        <v>51501</v>
      </c>
      <c r="J6" s="8"/>
      <c r="L6">
        <v>4</v>
      </c>
      <c r="M6" s="149">
        <v>0.33</v>
      </c>
      <c r="N6">
        <v>330</v>
      </c>
      <c r="O6" s="149">
        <v>1.32</v>
      </c>
      <c r="P6" s="149">
        <v>1320</v>
      </c>
      <c r="Q6">
        <v>95</v>
      </c>
      <c r="R6" s="150">
        <v>3.7258</v>
      </c>
      <c r="S6" s="4" t="s">
        <v>272</v>
      </c>
      <c r="T6" t="s">
        <v>273</v>
      </c>
      <c r="U6" s="5">
        <v>45413</v>
      </c>
      <c r="V6" s="5">
        <v>51501</v>
      </c>
      <c r="W6" s="7"/>
      <c r="AE6" s="69"/>
      <c r="AF6" s="78"/>
    </row>
    <row r="7" spans="1:32" x14ac:dyDescent="0.3">
      <c r="A7">
        <v>1</v>
      </c>
      <c r="B7" s="3">
        <f t="shared" si="0"/>
        <v>0.25</v>
      </c>
      <c r="C7">
        <v>250</v>
      </c>
      <c r="D7">
        <v>95</v>
      </c>
      <c r="E7" s="150">
        <v>0.81359999999999999</v>
      </c>
      <c r="F7" s="4" t="s">
        <v>274</v>
      </c>
      <c r="G7" t="s">
        <v>275</v>
      </c>
      <c r="H7" s="5">
        <v>45413</v>
      </c>
      <c r="I7" s="5">
        <v>51501</v>
      </c>
      <c r="J7" s="8"/>
      <c r="L7">
        <v>4</v>
      </c>
      <c r="M7" s="149">
        <v>0.33300000000000002</v>
      </c>
      <c r="N7">
        <v>333</v>
      </c>
      <c r="O7" s="149">
        <v>1.3320000000000001</v>
      </c>
      <c r="P7" s="149">
        <v>1332</v>
      </c>
      <c r="Q7">
        <v>95</v>
      </c>
      <c r="R7" s="150">
        <v>3.7601</v>
      </c>
      <c r="S7" s="4" t="s">
        <v>276</v>
      </c>
      <c r="T7" t="s">
        <v>277</v>
      </c>
      <c r="U7" s="5">
        <v>45413</v>
      </c>
      <c r="V7" s="5">
        <v>51501</v>
      </c>
      <c r="W7" s="7"/>
      <c r="AE7" s="69"/>
      <c r="AF7" s="78"/>
    </row>
    <row r="8" spans="1:32" x14ac:dyDescent="0.3">
      <c r="A8">
        <v>1</v>
      </c>
      <c r="B8" s="3">
        <f t="shared" si="0"/>
        <v>0.27</v>
      </c>
      <c r="C8">
        <v>270</v>
      </c>
      <c r="D8">
        <v>95</v>
      </c>
      <c r="E8" s="150">
        <v>0.87890000000000001</v>
      </c>
      <c r="F8" s="4" t="s">
        <v>278</v>
      </c>
      <c r="G8" t="s">
        <v>279</v>
      </c>
      <c r="H8" s="5">
        <v>45413</v>
      </c>
      <c r="I8" s="5">
        <v>51501</v>
      </c>
      <c r="J8" s="8"/>
      <c r="L8">
        <v>4</v>
      </c>
      <c r="M8" s="149">
        <v>0.34</v>
      </c>
      <c r="N8">
        <v>340</v>
      </c>
      <c r="O8" s="149">
        <v>1.36</v>
      </c>
      <c r="P8" s="149">
        <v>1360</v>
      </c>
      <c r="Q8">
        <v>95</v>
      </c>
      <c r="R8" s="150">
        <v>3.8393000000000002</v>
      </c>
      <c r="S8" s="4" t="s">
        <v>280</v>
      </c>
      <c r="T8" t="s">
        <v>281</v>
      </c>
      <c r="U8" s="5">
        <v>45413</v>
      </c>
      <c r="V8" s="5">
        <v>51501</v>
      </c>
      <c r="W8" s="7"/>
      <c r="AE8" s="69"/>
      <c r="AF8" s="78"/>
    </row>
    <row r="9" spans="1:32" x14ac:dyDescent="0.3">
      <c r="A9">
        <v>1</v>
      </c>
      <c r="B9" s="3">
        <f t="shared" si="0"/>
        <v>0.27500000000000002</v>
      </c>
      <c r="C9">
        <v>275</v>
      </c>
      <c r="D9">
        <v>95</v>
      </c>
      <c r="E9" s="150">
        <v>0.89510000000000001</v>
      </c>
      <c r="F9" s="4" t="s">
        <v>282</v>
      </c>
      <c r="G9" t="s">
        <v>283</v>
      </c>
      <c r="H9" s="5">
        <v>45413</v>
      </c>
      <c r="I9" s="5">
        <v>51501</v>
      </c>
      <c r="J9" s="8"/>
      <c r="L9">
        <v>4</v>
      </c>
      <c r="M9" s="149">
        <v>0.34100000000000003</v>
      </c>
      <c r="N9">
        <v>341</v>
      </c>
      <c r="O9" s="149">
        <v>1.3640000000000001</v>
      </c>
      <c r="P9" s="149">
        <v>1364</v>
      </c>
      <c r="Q9">
        <v>95</v>
      </c>
      <c r="R9" s="150">
        <v>3.8498999999999999</v>
      </c>
      <c r="S9" s="4" t="s">
        <v>284</v>
      </c>
      <c r="T9" t="s">
        <v>285</v>
      </c>
      <c r="U9" s="5">
        <v>45413</v>
      </c>
      <c r="V9" s="5">
        <v>51501</v>
      </c>
      <c r="W9" s="7"/>
      <c r="AE9" s="69"/>
      <c r="AF9" s="78"/>
    </row>
    <row r="10" spans="1:32" x14ac:dyDescent="0.3">
      <c r="A10">
        <v>1</v>
      </c>
      <c r="B10" s="3">
        <f t="shared" si="0"/>
        <v>0.29599999999999999</v>
      </c>
      <c r="C10">
        <v>296</v>
      </c>
      <c r="D10">
        <v>95</v>
      </c>
      <c r="E10" s="150">
        <v>0.91830000000000001</v>
      </c>
      <c r="F10" s="4" t="s">
        <v>286</v>
      </c>
      <c r="G10" t="s">
        <v>287</v>
      </c>
      <c r="H10" s="5">
        <v>45413</v>
      </c>
      <c r="I10" s="5">
        <v>51501</v>
      </c>
      <c r="J10" s="8"/>
      <c r="L10">
        <v>4</v>
      </c>
      <c r="M10" s="149">
        <v>0.35499999999999998</v>
      </c>
      <c r="N10">
        <v>355</v>
      </c>
      <c r="O10" s="149">
        <v>1.42</v>
      </c>
      <c r="P10" s="149">
        <v>1420</v>
      </c>
      <c r="Q10">
        <v>95</v>
      </c>
      <c r="R10" s="150">
        <v>4.008</v>
      </c>
      <c r="S10" s="4" t="s">
        <v>288</v>
      </c>
      <c r="T10" t="s">
        <v>289</v>
      </c>
      <c r="U10" s="5">
        <v>45413</v>
      </c>
      <c r="V10" s="5">
        <v>51501</v>
      </c>
      <c r="W10" s="7"/>
      <c r="AE10" s="69"/>
      <c r="AF10" s="78"/>
    </row>
    <row r="11" spans="1:32" x14ac:dyDescent="0.3">
      <c r="A11">
        <v>1</v>
      </c>
      <c r="B11" s="3">
        <f t="shared" si="0"/>
        <v>0.3</v>
      </c>
      <c r="C11">
        <v>300</v>
      </c>
      <c r="D11">
        <v>95</v>
      </c>
      <c r="E11" s="150">
        <v>0.93049999999999999</v>
      </c>
      <c r="F11" s="4" t="s">
        <v>290</v>
      </c>
      <c r="G11" t="s">
        <v>291</v>
      </c>
      <c r="H11" s="5">
        <v>45413</v>
      </c>
      <c r="I11" s="5">
        <v>51501</v>
      </c>
      <c r="J11" s="8"/>
      <c r="L11">
        <v>4</v>
      </c>
      <c r="M11" s="149">
        <v>0.4</v>
      </c>
      <c r="N11">
        <v>400</v>
      </c>
      <c r="O11" s="149">
        <v>1.6</v>
      </c>
      <c r="P11" s="149">
        <v>1600</v>
      </c>
      <c r="Q11">
        <v>95</v>
      </c>
      <c r="R11" s="150">
        <v>5.2961999999999998</v>
      </c>
      <c r="S11" s="4" t="s">
        <v>292</v>
      </c>
      <c r="T11" t="s">
        <v>293</v>
      </c>
      <c r="U11" s="5">
        <v>45413</v>
      </c>
      <c r="V11" s="5">
        <v>51501</v>
      </c>
      <c r="W11" s="7"/>
      <c r="AE11" s="69"/>
      <c r="AF11" s="78"/>
    </row>
    <row r="12" spans="1:32" x14ac:dyDescent="0.3">
      <c r="A12">
        <v>1</v>
      </c>
      <c r="B12" s="3">
        <f t="shared" si="0"/>
        <v>0.33</v>
      </c>
      <c r="C12">
        <v>330</v>
      </c>
      <c r="D12">
        <v>95</v>
      </c>
      <c r="E12" s="150">
        <v>1.0744</v>
      </c>
      <c r="F12" s="4" t="s">
        <v>294</v>
      </c>
      <c r="G12" t="s">
        <v>295</v>
      </c>
      <c r="H12" s="5">
        <v>45413</v>
      </c>
      <c r="I12" s="5">
        <v>51501</v>
      </c>
      <c r="J12" s="8"/>
      <c r="L12">
        <v>4</v>
      </c>
      <c r="M12" s="149">
        <v>0.47299999999999998</v>
      </c>
      <c r="N12">
        <v>473</v>
      </c>
      <c r="O12" s="149">
        <v>1.8919999999999999</v>
      </c>
      <c r="P12" s="149">
        <v>1892</v>
      </c>
      <c r="Q12">
        <v>95</v>
      </c>
      <c r="R12" s="150">
        <v>4.1054000000000004</v>
      </c>
      <c r="S12" s="4" t="s">
        <v>296</v>
      </c>
      <c r="T12" t="s">
        <v>297</v>
      </c>
      <c r="U12" s="5">
        <v>45413</v>
      </c>
      <c r="V12" s="5">
        <v>51501</v>
      </c>
      <c r="W12" s="7"/>
      <c r="AE12" s="69"/>
      <c r="AF12" s="78"/>
    </row>
    <row r="13" spans="1:32" x14ac:dyDescent="0.3">
      <c r="A13">
        <v>1</v>
      </c>
      <c r="B13" s="3">
        <f t="shared" si="0"/>
        <v>0.33300000000000002</v>
      </c>
      <c r="C13">
        <v>333</v>
      </c>
      <c r="D13">
        <v>95</v>
      </c>
      <c r="E13" s="150">
        <v>1.0837000000000001</v>
      </c>
      <c r="F13" s="4" t="s">
        <v>298</v>
      </c>
      <c r="G13" t="s">
        <v>299</v>
      </c>
      <c r="H13" s="5">
        <v>45413</v>
      </c>
      <c r="I13" s="5">
        <v>51501</v>
      </c>
      <c r="J13" s="8"/>
      <c r="L13">
        <v>4</v>
      </c>
      <c r="M13" s="149">
        <v>0.5</v>
      </c>
      <c r="N13">
        <v>500</v>
      </c>
      <c r="O13" s="149">
        <v>2</v>
      </c>
      <c r="P13" s="149">
        <v>2000</v>
      </c>
      <c r="Q13">
        <v>95</v>
      </c>
      <c r="R13" s="150">
        <v>5.0370999999999997</v>
      </c>
      <c r="S13" s="4" t="s">
        <v>300</v>
      </c>
      <c r="T13" t="s">
        <v>301</v>
      </c>
      <c r="U13" s="5">
        <v>45413</v>
      </c>
      <c r="V13" s="5">
        <v>51501</v>
      </c>
      <c r="W13" s="7"/>
      <c r="AE13" s="69"/>
      <c r="AF13" s="78"/>
    </row>
    <row r="14" spans="1:32" x14ac:dyDescent="0.3">
      <c r="A14">
        <v>1</v>
      </c>
      <c r="B14" s="3">
        <f t="shared" si="0"/>
        <v>0.34100000000000003</v>
      </c>
      <c r="C14">
        <v>341</v>
      </c>
      <c r="D14">
        <v>95</v>
      </c>
      <c r="E14" s="150">
        <v>1.1100000000000001</v>
      </c>
      <c r="F14" s="4" t="s">
        <v>302</v>
      </c>
      <c r="G14" t="s">
        <v>303</v>
      </c>
      <c r="H14" s="5">
        <v>45413</v>
      </c>
      <c r="I14" s="5">
        <v>51501</v>
      </c>
      <c r="J14" s="8"/>
      <c r="L14">
        <v>6</v>
      </c>
      <c r="M14" s="149">
        <v>0.33</v>
      </c>
      <c r="N14">
        <v>330</v>
      </c>
      <c r="O14" s="149">
        <v>1.98</v>
      </c>
      <c r="P14" s="149">
        <v>1980</v>
      </c>
      <c r="Q14">
        <v>95</v>
      </c>
      <c r="R14" s="150">
        <v>4.2973999999999997</v>
      </c>
      <c r="S14" s="4" t="s">
        <v>304</v>
      </c>
      <c r="T14" t="s">
        <v>305</v>
      </c>
      <c r="U14" s="5">
        <v>45413</v>
      </c>
      <c r="V14" s="5">
        <v>51501</v>
      </c>
      <c r="W14" s="7"/>
      <c r="AE14" s="69"/>
      <c r="AF14" s="78"/>
    </row>
    <row r="15" spans="1:32" x14ac:dyDescent="0.3">
      <c r="A15">
        <v>1</v>
      </c>
      <c r="B15" s="3">
        <f t="shared" si="0"/>
        <v>0.35499999999999998</v>
      </c>
      <c r="C15">
        <v>355</v>
      </c>
      <c r="D15">
        <v>95</v>
      </c>
      <c r="E15" s="150">
        <v>1.1557999999999999</v>
      </c>
      <c r="F15" s="4" t="s">
        <v>306</v>
      </c>
      <c r="G15" t="s">
        <v>307</v>
      </c>
      <c r="H15" s="5">
        <v>45413</v>
      </c>
      <c r="I15" s="5">
        <v>51501</v>
      </c>
      <c r="J15" s="8"/>
      <c r="L15">
        <v>6</v>
      </c>
      <c r="M15" s="149">
        <v>0.34100000000000003</v>
      </c>
      <c r="N15">
        <v>341</v>
      </c>
      <c r="O15" s="149">
        <v>2.0460000000000003</v>
      </c>
      <c r="P15" s="149">
        <v>2046</v>
      </c>
      <c r="Q15">
        <v>95</v>
      </c>
      <c r="R15" s="150">
        <v>4.9275000000000002</v>
      </c>
      <c r="S15" s="4" t="s">
        <v>308</v>
      </c>
      <c r="T15" t="s">
        <v>309</v>
      </c>
      <c r="U15" s="5">
        <v>45413</v>
      </c>
      <c r="V15" s="5">
        <v>51501</v>
      </c>
      <c r="W15" s="7"/>
      <c r="AE15" s="69"/>
      <c r="AF15" s="78"/>
    </row>
    <row r="16" spans="1:32" x14ac:dyDescent="0.3">
      <c r="A16">
        <v>1</v>
      </c>
      <c r="B16" s="3">
        <f t="shared" si="0"/>
        <v>0.36</v>
      </c>
      <c r="C16">
        <v>360</v>
      </c>
      <c r="D16">
        <v>95</v>
      </c>
      <c r="E16" s="150">
        <v>1.1719999999999999</v>
      </c>
      <c r="F16" s="4" t="s">
        <v>310</v>
      </c>
      <c r="G16" t="s">
        <v>311</v>
      </c>
      <c r="H16" s="5">
        <v>45413</v>
      </c>
      <c r="I16" s="5">
        <v>51501</v>
      </c>
      <c r="J16" s="8"/>
      <c r="L16">
        <v>6</v>
      </c>
      <c r="M16" s="149">
        <v>0.35499999999999998</v>
      </c>
      <c r="N16">
        <v>355</v>
      </c>
      <c r="O16" s="149">
        <v>2.13</v>
      </c>
      <c r="P16" s="149">
        <v>2130</v>
      </c>
      <c r="Q16">
        <v>95</v>
      </c>
      <c r="R16" s="150">
        <v>5.1295999999999999</v>
      </c>
      <c r="S16" s="4" t="s">
        <v>312</v>
      </c>
      <c r="T16" t="s">
        <v>313</v>
      </c>
      <c r="U16" s="5">
        <v>45413</v>
      </c>
      <c r="V16" s="5">
        <v>51501</v>
      </c>
      <c r="W16" s="7"/>
      <c r="AE16" s="69"/>
      <c r="AF16" s="78"/>
    </row>
    <row r="17" spans="1:32" x14ac:dyDescent="0.3">
      <c r="A17">
        <v>1</v>
      </c>
      <c r="B17" s="3">
        <f t="shared" si="0"/>
        <v>0.375</v>
      </c>
      <c r="C17">
        <v>375</v>
      </c>
      <c r="D17">
        <v>95</v>
      </c>
      <c r="E17" s="150">
        <v>1.2213000000000001</v>
      </c>
      <c r="F17" s="4" t="s">
        <v>314</v>
      </c>
      <c r="G17" t="s">
        <v>315</v>
      </c>
      <c r="H17" s="5">
        <v>45413</v>
      </c>
      <c r="I17" s="5">
        <v>51501</v>
      </c>
      <c r="J17" s="8"/>
      <c r="L17">
        <v>8</v>
      </c>
      <c r="M17" s="149">
        <v>0.33</v>
      </c>
      <c r="N17">
        <v>330</v>
      </c>
      <c r="O17" s="149">
        <v>2.64</v>
      </c>
      <c r="P17" s="149">
        <v>2640</v>
      </c>
      <c r="Q17">
        <v>95</v>
      </c>
      <c r="R17" s="150">
        <v>6.2577999999999996</v>
      </c>
      <c r="S17" s="4" t="s">
        <v>316</v>
      </c>
      <c r="T17" t="s">
        <v>317</v>
      </c>
      <c r="U17" s="5">
        <v>45413</v>
      </c>
      <c r="V17" s="5">
        <v>51501</v>
      </c>
      <c r="W17" s="7"/>
      <c r="AE17" s="69"/>
      <c r="AF17" s="78"/>
    </row>
    <row r="18" spans="1:32" x14ac:dyDescent="0.3">
      <c r="A18">
        <v>1</v>
      </c>
      <c r="B18" s="3">
        <f t="shared" si="0"/>
        <v>0.4</v>
      </c>
      <c r="C18">
        <v>400</v>
      </c>
      <c r="D18">
        <v>95</v>
      </c>
      <c r="E18" s="150">
        <v>1.3019000000000001</v>
      </c>
      <c r="F18" s="4" t="s">
        <v>318</v>
      </c>
      <c r="G18" t="s">
        <v>319</v>
      </c>
      <c r="H18" s="5">
        <v>45413</v>
      </c>
      <c r="I18" s="5">
        <v>51501</v>
      </c>
      <c r="J18" s="8"/>
      <c r="L18">
        <v>8</v>
      </c>
      <c r="M18" s="149">
        <v>0.34100000000000003</v>
      </c>
      <c r="N18">
        <v>341</v>
      </c>
      <c r="O18" s="149">
        <v>2.7280000000000002</v>
      </c>
      <c r="P18" s="149">
        <v>2728</v>
      </c>
      <c r="Q18">
        <v>95</v>
      </c>
      <c r="R18" s="150">
        <v>5.9204999999999997</v>
      </c>
      <c r="S18" s="4" t="s">
        <v>320</v>
      </c>
      <c r="T18" t="s">
        <v>321</v>
      </c>
      <c r="U18" s="5">
        <v>45413</v>
      </c>
      <c r="V18" s="5">
        <v>51501</v>
      </c>
      <c r="W18" s="7"/>
      <c r="AE18" s="69"/>
      <c r="AF18" s="78"/>
    </row>
    <row r="19" spans="1:32" x14ac:dyDescent="0.3">
      <c r="A19">
        <v>1</v>
      </c>
      <c r="B19" s="3">
        <f t="shared" si="0"/>
        <v>0.44</v>
      </c>
      <c r="C19">
        <v>440</v>
      </c>
      <c r="D19">
        <v>95</v>
      </c>
      <c r="E19" s="150">
        <v>1.4323999999999999</v>
      </c>
      <c r="F19" s="4" t="s">
        <v>322</v>
      </c>
      <c r="G19" t="s">
        <v>323</v>
      </c>
      <c r="H19" s="5">
        <v>45413</v>
      </c>
      <c r="I19" s="5">
        <v>51501</v>
      </c>
      <c r="J19" s="8"/>
      <c r="L19">
        <v>8</v>
      </c>
      <c r="M19" s="149">
        <v>0.35499999999999998</v>
      </c>
      <c r="N19">
        <v>355</v>
      </c>
      <c r="O19" s="149">
        <v>2.84</v>
      </c>
      <c r="P19" s="149">
        <v>2840</v>
      </c>
      <c r="Q19">
        <v>95</v>
      </c>
      <c r="R19" s="150">
        <v>6.7320000000000002</v>
      </c>
      <c r="S19" s="4" t="s">
        <v>324</v>
      </c>
      <c r="T19" t="s">
        <v>325</v>
      </c>
      <c r="U19" s="5">
        <v>45413</v>
      </c>
      <c r="V19" s="5">
        <v>51501</v>
      </c>
      <c r="W19" s="7"/>
      <c r="AE19" s="69"/>
      <c r="AF19" s="78"/>
    </row>
    <row r="20" spans="1:32" x14ac:dyDescent="0.3">
      <c r="A20">
        <v>1</v>
      </c>
      <c r="B20" s="3">
        <f t="shared" si="0"/>
        <v>0.45800000000000002</v>
      </c>
      <c r="C20">
        <v>458</v>
      </c>
      <c r="D20">
        <v>95</v>
      </c>
      <c r="E20" s="150">
        <v>1.4916</v>
      </c>
      <c r="F20" s="4" t="s">
        <v>326</v>
      </c>
      <c r="G20" t="s">
        <v>327</v>
      </c>
      <c r="H20" s="5">
        <v>45413</v>
      </c>
      <c r="I20" s="5">
        <v>51501</v>
      </c>
      <c r="J20" s="8"/>
      <c r="L20">
        <v>8</v>
      </c>
      <c r="M20" s="149">
        <v>0.44</v>
      </c>
      <c r="N20">
        <v>440</v>
      </c>
      <c r="O20" s="149">
        <v>3.52</v>
      </c>
      <c r="P20" s="149">
        <v>3520</v>
      </c>
      <c r="Q20">
        <v>95</v>
      </c>
      <c r="R20" s="150">
        <v>8.4783000000000008</v>
      </c>
      <c r="S20" s="4" t="s">
        <v>328</v>
      </c>
      <c r="T20" t="s">
        <v>329</v>
      </c>
      <c r="U20" s="5">
        <v>45413</v>
      </c>
      <c r="V20" s="5">
        <v>51501</v>
      </c>
      <c r="W20" s="7"/>
      <c r="AE20" s="69"/>
      <c r="AF20" s="78"/>
    </row>
    <row r="21" spans="1:32" x14ac:dyDescent="0.3">
      <c r="A21">
        <v>1</v>
      </c>
      <c r="B21" s="3">
        <f t="shared" si="0"/>
        <v>0.47299999999999998</v>
      </c>
      <c r="C21">
        <v>473</v>
      </c>
      <c r="D21">
        <v>95</v>
      </c>
      <c r="E21" s="150">
        <v>1.5405</v>
      </c>
      <c r="F21" s="4" t="s">
        <v>330</v>
      </c>
      <c r="G21" t="s">
        <v>331</v>
      </c>
      <c r="H21" s="5">
        <v>45413</v>
      </c>
      <c r="I21" s="5">
        <v>51501</v>
      </c>
      <c r="J21" s="8"/>
      <c r="L21">
        <v>8</v>
      </c>
      <c r="M21" s="149">
        <v>0.5</v>
      </c>
      <c r="N21">
        <v>500</v>
      </c>
      <c r="O21" s="149">
        <v>4</v>
      </c>
      <c r="P21" s="149">
        <v>4000</v>
      </c>
      <c r="Q21">
        <v>95</v>
      </c>
      <c r="R21" s="150">
        <v>9.6346000000000007</v>
      </c>
      <c r="S21" s="4" t="s">
        <v>332</v>
      </c>
      <c r="T21" t="s">
        <v>333</v>
      </c>
      <c r="U21" s="5">
        <v>45413</v>
      </c>
      <c r="V21" s="5">
        <v>51501</v>
      </c>
      <c r="W21" s="7"/>
      <c r="AE21" s="69"/>
      <c r="AF21" s="78"/>
    </row>
    <row r="22" spans="1:32" x14ac:dyDescent="0.3">
      <c r="A22">
        <v>1</v>
      </c>
      <c r="B22" s="3">
        <f t="shared" si="0"/>
        <v>0.5</v>
      </c>
      <c r="C22">
        <v>500</v>
      </c>
      <c r="D22">
        <v>95</v>
      </c>
      <c r="E22" s="150">
        <v>1.5698000000000001</v>
      </c>
      <c r="F22" s="4" t="s">
        <v>334</v>
      </c>
      <c r="G22" t="s">
        <v>335</v>
      </c>
      <c r="H22" s="5">
        <v>45413</v>
      </c>
      <c r="I22" s="5">
        <v>51501</v>
      </c>
      <c r="J22" s="8"/>
      <c r="L22">
        <v>12</v>
      </c>
      <c r="M22" s="149">
        <v>0.23599999999999999</v>
      </c>
      <c r="N22">
        <v>236</v>
      </c>
      <c r="O22" s="149">
        <v>2.8319999999999999</v>
      </c>
      <c r="P22" s="149">
        <v>2832</v>
      </c>
      <c r="Q22">
        <v>95</v>
      </c>
      <c r="R22" s="150">
        <v>6.7129000000000003</v>
      </c>
      <c r="S22" s="4" t="s">
        <v>336</v>
      </c>
      <c r="T22" t="s">
        <v>337</v>
      </c>
      <c r="U22" s="5">
        <v>45413</v>
      </c>
      <c r="V22" s="5">
        <v>51501</v>
      </c>
      <c r="W22" s="7"/>
      <c r="AE22" s="69"/>
      <c r="AF22" s="78"/>
    </row>
    <row r="23" spans="1:32" x14ac:dyDescent="0.3">
      <c r="A23">
        <v>1</v>
      </c>
      <c r="B23" s="3">
        <f t="shared" si="0"/>
        <v>0.65</v>
      </c>
      <c r="C23">
        <v>650</v>
      </c>
      <c r="D23">
        <v>95</v>
      </c>
      <c r="E23" s="150">
        <v>2.0407999999999999</v>
      </c>
      <c r="F23" s="4" t="s">
        <v>338</v>
      </c>
      <c r="G23" t="s">
        <v>339</v>
      </c>
      <c r="H23" s="5">
        <v>45413</v>
      </c>
      <c r="I23" s="5">
        <v>51501</v>
      </c>
      <c r="J23" s="8"/>
      <c r="L23">
        <v>12</v>
      </c>
      <c r="M23" s="149">
        <v>0.33</v>
      </c>
      <c r="N23">
        <v>330</v>
      </c>
      <c r="O23" s="149">
        <v>3.96</v>
      </c>
      <c r="P23" s="149">
        <v>3960</v>
      </c>
      <c r="Q23">
        <v>95</v>
      </c>
      <c r="R23" s="150">
        <v>9.5376999999999992</v>
      </c>
      <c r="S23" s="4" t="s">
        <v>340</v>
      </c>
      <c r="T23" t="s">
        <v>341</v>
      </c>
      <c r="U23" s="5">
        <v>45413</v>
      </c>
      <c r="V23" s="5">
        <v>51501</v>
      </c>
      <c r="W23" s="7"/>
      <c r="AE23" s="69"/>
      <c r="AF23" s="78"/>
    </row>
    <row r="24" spans="1:32" x14ac:dyDescent="0.3">
      <c r="A24">
        <v>1</v>
      </c>
      <c r="B24" s="3">
        <f t="shared" si="0"/>
        <v>0.69499999999999995</v>
      </c>
      <c r="C24">
        <v>695</v>
      </c>
      <c r="D24">
        <v>95</v>
      </c>
      <c r="E24" s="150">
        <v>2.1476999999999999</v>
      </c>
      <c r="F24" s="4" t="s">
        <v>342</v>
      </c>
      <c r="G24" t="s">
        <v>343</v>
      </c>
      <c r="H24" s="5">
        <v>45413</v>
      </c>
      <c r="I24" s="5">
        <v>51501</v>
      </c>
      <c r="J24" s="8"/>
      <c r="L24">
        <v>12</v>
      </c>
      <c r="M24" s="149">
        <v>0.34100000000000003</v>
      </c>
      <c r="N24">
        <v>341</v>
      </c>
      <c r="O24" s="149">
        <v>4.0919999999999996</v>
      </c>
      <c r="P24" s="149">
        <v>4092</v>
      </c>
      <c r="Q24">
        <v>95</v>
      </c>
      <c r="R24" s="150">
        <v>13.3203</v>
      </c>
      <c r="S24" s="4" t="s">
        <v>344</v>
      </c>
      <c r="T24" t="s">
        <v>345</v>
      </c>
      <c r="U24" s="5">
        <v>45413</v>
      </c>
      <c r="V24" s="5">
        <v>51501</v>
      </c>
      <c r="W24" s="7"/>
      <c r="AE24" s="69"/>
      <c r="AF24" s="78"/>
    </row>
    <row r="25" spans="1:32" x14ac:dyDescent="0.3">
      <c r="A25">
        <v>1</v>
      </c>
      <c r="B25" s="3">
        <f t="shared" si="0"/>
        <v>0.7</v>
      </c>
      <c r="C25">
        <v>700</v>
      </c>
      <c r="D25">
        <v>95</v>
      </c>
      <c r="E25" s="150">
        <v>2.1979000000000002</v>
      </c>
      <c r="F25" s="4" t="s">
        <v>346</v>
      </c>
      <c r="G25" t="s">
        <v>347</v>
      </c>
      <c r="H25" s="5">
        <v>45413</v>
      </c>
      <c r="I25" s="5">
        <v>51501</v>
      </c>
      <c r="J25" s="8"/>
      <c r="L25">
        <v>12</v>
      </c>
      <c r="M25" s="149">
        <v>0.35499999999999998</v>
      </c>
      <c r="N25">
        <v>355</v>
      </c>
      <c r="O25" s="149">
        <v>4.26</v>
      </c>
      <c r="P25" s="149">
        <v>4260</v>
      </c>
      <c r="Q25">
        <v>95</v>
      </c>
      <c r="R25" s="150">
        <v>10.259399999999999</v>
      </c>
      <c r="S25" s="4" t="s">
        <v>348</v>
      </c>
      <c r="T25" t="s">
        <v>349</v>
      </c>
      <c r="U25" s="5">
        <v>45413</v>
      </c>
      <c r="V25" s="5">
        <v>51501</v>
      </c>
      <c r="W25" s="7"/>
      <c r="AE25" s="69"/>
      <c r="AF25" s="78"/>
    </row>
    <row r="26" spans="1:32" x14ac:dyDescent="0.3">
      <c r="A26">
        <v>1</v>
      </c>
      <c r="B26" s="3">
        <f t="shared" si="0"/>
        <v>0.71</v>
      </c>
      <c r="C26">
        <v>710</v>
      </c>
      <c r="D26">
        <v>95</v>
      </c>
      <c r="E26" s="150">
        <v>2.218</v>
      </c>
      <c r="F26" s="4" t="s">
        <v>350</v>
      </c>
      <c r="G26" t="s">
        <v>351</v>
      </c>
      <c r="H26" s="5">
        <v>45413</v>
      </c>
      <c r="I26" s="5">
        <v>51501</v>
      </c>
      <c r="J26" s="8"/>
      <c r="L26">
        <v>24</v>
      </c>
      <c r="M26" s="149">
        <v>0.33</v>
      </c>
      <c r="N26">
        <v>330</v>
      </c>
      <c r="O26" s="149">
        <v>7.92</v>
      </c>
      <c r="P26" s="149">
        <v>7920</v>
      </c>
      <c r="Q26">
        <v>95</v>
      </c>
      <c r="R26" s="150">
        <v>19.0731</v>
      </c>
      <c r="S26" s="4" t="s">
        <v>352</v>
      </c>
      <c r="T26" t="s">
        <v>353</v>
      </c>
      <c r="U26" s="5">
        <v>45413</v>
      </c>
      <c r="V26" s="5">
        <v>51501</v>
      </c>
      <c r="W26" s="7"/>
      <c r="AE26" s="69"/>
      <c r="AF26" s="78"/>
    </row>
    <row r="27" spans="1:32" x14ac:dyDescent="0.3">
      <c r="A27">
        <v>1</v>
      </c>
      <c r="B27" s="3">
        <f t="shared" si="0"/>
        <v>0.72</v>
      </c>
      <c r="C27">
        <v>720</v>
      </c>
      <c r="D27">
        <v>95</v>
      </c>
      <c r="E27" s="150">
        <v>2.2597</v>
      </c>
      <c r="F27" s="4" t="s">
        <v>354</v>
      </c>
      <c r="G27" t="s">
        <v>355</v>
      </c>
      <c r="H27" s="5">
        <v>45413</v>
      </c>
      <c r="I27" s="5">
        <v>51501</v>
      </c>
      <c r="J27" s="8"/>
      <c r="L27">
        <v>24</v>
      </c>
      <c r="M27" s="149">
        <v>0.35499999999999998</v>
      </c>
      <c r="N27">
        <v>355</v>
      </c>
      <c r="O27" s="149">
        <v>8.52</v>
      </c>
      <c r="P27" s="149">
        <v>8520</v>
      </c>
      <c r="Q27">
        <v>95</v>
      </c>
      <c r="R27" s="150">
        <v>20.5184</v>
      </c>
      <c r="S27" s="4" t="s">
        <v>356</v>
      </c>
      <c r="T27" t="s">
        <v>357</v>
      </c>
      <c r="U27" s="5">
        <v>45413</v>
      </c>
      <c r="V27" s="5">
        <v>51501</v>
      </c>
      <c r="W27" s="7"/>
      <c r="AE27" s="69"/>
      <c r="AF27" s="78"/>
    </row>
    <row r="28" spans="1:32" x14ac:dyDescent="0.3">
      <c r="A28">
        <v>1</v>
      </c>
      <c r="B28" s="3">
        <f t="shared" si="0"/>
        <v>0.75</v>
      </c>
      <c r="C28">
        <v>750</v>
      </c>
      <c r="D28">
        <v>95</v>
      </c>
      <c r="E28" s="150">
        <v>2.3548</v>
      </c>
      <c r="F28" s="4" t="s">
        <v>358</v>
      </c>
      <c r="G28" t="s">
        <v>359</v>
      </c>
      <c r="H28" s="5">
        <v>45413</v>
      </c>
      <c r="I28" s="5">
        <v>51501</v>
      </c>
      <c r="J28" s="8"/>
      <c r="L28">
        <v>24</v>
      </c>
      <c r="M28" s="149">
        <v>0.4</v>
      </c>
      <c r="N28">
        <v>400</v>
      </c>
      <c r="O28" s="149">
        <v>9.6000000000000014</v>
      </c>
      <c r="P28" s="149">
        <v>9600</v>
      </c>
      <c r="Q28">
        <v>95</v>
      </c>
      <c r="R28" s="150">
        <v>23.119399999999999</v>
      </c>
      <c r="S28" s="4" t="s">
        <v>360</v>
      </c>
      <c r="T28" t="s">
        <v>361</v>
      </c>
      <c r="U28" s="5">
        <v>45413</v>
      </c>
      <c r="V28" s="5">
        <v>51501</v>
      </c>
      <c r="W28" s="7"/>
      <c r="AE28" s="69"/>
      <c r="AF28" s="78"/>
    </row>
    <row r="29" spans="1:32" x14ac:dyDescent="0.3">
      <c r="A29">
        <v>1</v>
      </c>
      <c r="B29" s="3">
        <f t="shared" si="0"/>
        <v>0.91</v>
      </c>
      <c r="C29">
        <v>910</v>
      </c>
      <c r="D29">
        <v>95</v>
      </c>
      <c r="E29" s="150">
        <v>2.8576000000000001</v>
      </c>
      <c r="F29" s="4" t="s">
        <v>362</v>
      </c>
      <c r="G29" t="s">
        <v>363</v>
      </c>
      <c r="H29" s="5">
        <v>45413</v>
      </c>
      <c r="I29" s="5">
        <v>51501</v>
      </c>
      <c r="J29" s="8"/>
      <c r="L29">
        <v>12</v>
      </c>
      <c r="M29" s="149">
        <v>0.4</v>
      </c>
      <c r="N29">
        <v>400</v>
      </c>
      <c r="O29" s="149">
        <v>4.8000000000000007</v>
      </c>
      <c r="P29" s="149">
        <v>4800</v>
      </c>
      <c r="Q29">
        <v>95</v>
      </c>
      <c r="R29" s="150">
        <v>11.561500000000001</v>
      </c>
      <c r="S29" t="s">
        <v>853</v>
      </c>
      <c r="T29" t="s">
        <v>854</v>
      </c>
      <c r="U29" s="5">
        <v>45413</v>
      </c>
      <c r="V29" s="5">
        <v>51501</v>
      </c>
      <c r="W29" s="7"/>
      <c r="AE29" s="69"/>
      <c r="AF29" s="78"/>
    </row>
    <row r="30" spans="1:32" x14ac:dyDescent="0.3">
      <c r="A30">
        <v>1</v>
      </c>
      <c r="B30" s="3">
        <f t="shared" si="0"/>
        <v>0.94599999999999995</v>
      </c>
      <c r="C30">
        <v>946</v>
      </c>
      <c r="D30">
        <v>95</v>
      </c>
      <c r="E30" s="150">
        <v>2.9097</v>
      </c>
      <c r="F30" s="4" t="s">
        <v>364</v>
      </c>
      <c r="G30" t="s">
        <v>365</v>
      </c>
      <c r="H30" s="5">
        <v>45413</v>
      </c>
      <c r="I30" s="5">
        <v>51501</v>
      </c>
      <c r="J30" s="8"/>
      <c r="L30">
        <v>4</v>
      </c>
      <c r="M30" s="149">
        <v>0.44</v>
      </c>
      <c r="N30">
        <v>440</v>
      </c>
      <c r="O30" s="149">
        <v>1.76</v>
      </c>
      <c r="P30" s="149">
        <v>1760</v>
      </c>
      <c r="Q30">
        <v>95</v>
      </c>
      <c r="R30" s="150">
        <v>5.7293000000000003</v>
      </c>
      <c r="S30" t="s">
        <v>855</v>
      </c>
      <c r="T30" t="s">
        <v>856</v>
      </c>
      <c r="U30" s="5">
        <v>45413</v>
      </c>
      <c r="V30" s="5">
        <v>51501</v>
      </c>
      <c r="W30" s="7"/>
      <c r="AE30" s="69"/>
      <c r="AF30" s="78"/>
    </row>
    <row r="31" spans="1:32" x14ac:dyDescent="0.3">
      <c r="A31">
        <v>1</v>
      </c>
      <c r="B31" s="3">
        <f t="shared" si="0"/>
        <v>1</v>
      </c>
      <c r="C31">
        <v>1000</v>
      </c>
      <c r="D31">
        <v>95</v>
      </c>
      <c r="E31" s="150">
        <v>3.1398000000000001</v>
      </c>
      <c r="F31" s="4" t="s">
        <v>366</v>
      </c>
      <c r="G31" t="s">
        <v>367</v>
      </c>
      <c r="H31" s="5">
        <v>45413</v>
      </c>
      <c r="I31" s="5">
        <v>51501</v>
      </c>
      <c r="J31" s="8"/>
      <c r="L31">
        <v>4</v>
      </c>
      <c r="M31" s="149">
        <v>0.15</v>
      </c>
      <c r="N31">
        <v>150</v>
      </c>
      <c r="O31" s="149">
        <v>0.6</v>
      </c>
      <c r="P31" s="149">
        <v>600</v>
      </c>
      <c r="Q31">
        <v>95</v>
      </c>
      <c r="R31" s="150">
        <v>1.8835999999999999</v>
      </c>
      <c r="S31" t="s">
        <v>857</v>
      </c>
      <c r="T31" t="s">
        <v>858</v>
      </c>
      <c r="U31" s="5">
        <v>45413</v>
      </c>
      <c r="V31" s="5">
        <v>51501</v>
      </c>
      <c r="W31" s="7"/>
      <c r="AE31" s="69"/>
      <c r="AF31" s="78"/>
    </row>
    <row r="32" spans="1:32" x14ac:dyDescent="0.3">
      <c r="A32">
        <v>1</v>
      </c>
      <c r="B32" s="3">
        <f t="shared" si="0"/>
        <v>1.1399999999999999</v>
      </c>
      <c r="C32">
        <v>1140</v>
      </c>
      <c r="D32">
        <v>95</v>
      </c>
      <c r="E32" s="150">
        <v>3.5792999999999999</v>
      </c>
      <c r="F32" s="4" t="s">
        <v>368</v>
      </c>
      <c r="G32" t="s">
        <v>369</v>
      </c>
      <c r="H32" s="5">
        <v>45413</v>
      </c>
      <c r="I32" s="5">
        <v>51501</v>
      </c>
      <c r="J32" s="8"/>
      <c r="L32">
        <v>4</v>
      </c>
      <c r="M32" s="149">
        <v>0.27</v>
      </c>
      <c r="N32">
        <v>270</v>
      </c>
      <c r="O32" s="149">
        <v>1.08</v>
      </c>
      <c r="P32" s="149">
        <v>1080</v>
      </c>
      <c r="Q32">
        <v>95</v>
      </c>
      <c r="R32" s="150">
        <v>3.5154999999999998</v>
      </c>
      <c r="S32" t="s">
        <v>859</v>
      </c>
      <c r="T32" t="s">
        <v>860</v>
      </c>
      <c r="U32" s="5">
        <v>45413</v>
      </c>
      <c r="V32" s="5">
        <v>51501</v>
      </c>
      <c r="W32" s="7"/>
      <c r="AE32" s="69"/>
      <c r="AF32" s="78"/>
    </row>
    <row r="33" spans="1:32" x14ac:dyDescent="0.3">
      <c r="A33">
        <v>1</v>
      </c>
      <c r="B33" s="3">
        <f t="shared" si="0"/>
        <v>1.5</v>
      </c>
      <c r="C33">
        <v>1500</v>
      </c>
      <c r="D33">
        <v>95</v>
      </c>
      <c r="E33" s="150">
        <v>4.2343000000000002</v>
      </c>
      <c r="F33" s="4" t="s">
        <v>370</v>
      </c>
      <c r="G33" t="s">
        <v>371</v>
      </c>
      <c r="H33" s="5">
        <v>45413</v>
      </c>
      <c r="I33" s="5">
        <v>51501</v>
      </c>
      <c r="J33" s="8"/>
      <c r="L33">
        <v>8</v>
      </c>
      <c r="M33" s="149">
        <v>0.47299999999999998</v>
      </c>
      <c r="N33">
        <v>473</v>
      </c>
      <c r="O33" s="149">
        <v>3.7839999999999998</v>
      </c>
      <c r="P33" s="149">
        <v>3784</v>
      </c>
      <c r="Q33">
        <v>95</v>
      </c>
      <c r="R33" s="150">
        <v>8.2106999999999992</v>
      </c>
      <c r="S33" t="s">
        <v>861</v>
      </c>
      <c r="T33" t="s">
        <v>862</v>
      </c>
      <c r="U33" s="5">
        <v>45413</v>
      </c>
      <c r="V33" s="5">
        <v>51501</v>
      </c>
      <c r="W33" s="7"/>
      <c r="AE33" s="69"/>
      <c r="AF33" s="78"/>
    </row>
    <row r="34" spans="1:32" x14ac:dyDescent="0.3">
      <c r="A34">
        <v>1</v>
      </c>
      <c r="B34" s="3">
        <f t="shared" si="0"/>
        <v>1.75</v>
      </c>
      <c r="C34">
        <v>1750</v>
      </c>
      <c r="D34">
        <v>95</v>
      </c>
      <c r="E34" s="150">
        <v>4.2199</v>
      </c>
      <c r="F34" s="4" t="s">
        <v>372</v>
      </c>
      <c r="G34" t="s">
        <v>373</v>
      </c>
      <c r="H34" s="5">
        <v>45413</v>
      </c>
      <c r="I34" s="5">
        <v>51501</v>
      </c>
      <c r="J34" s="8"/>
      <c r="L34">
        <v>6</v>
      </c>
      <c r="M34" s="149">
        <v>0.47299999999999998</v>
      </c>
      <c r="N34">
        <v>473</v>
      </c>
      <c r="O34" s="149">
        <v>2.8380000000000001</v>
      </c>
      <c r="P34" s="149">
        <v>2838</v>
      </c>
      <c r="Q34">
        <v>95</v>
      </c>
      <c r="R34" s="150">
        <v>6.1580000000000004</v>
      </c>
      <c r="S34" t="s">
        <v>863</v>
      </c>
      <c r="T34" t="s">
        <v>864</v>
      </c>
      <c r="U34" s="5">
        <v>45413</v>
      </c>
      <c r="V34" s="5">
        <v>51501</v>
      </c>
      <c r="W34" s="7"/>
      <c r="AE34" s="69"/>
      <c r="AF34" s="78"/>
    </row>
    <row r="35" spans="1:32" x14ac:dyDescent="0.3">
      <c r="A35">
        <v>1</v>
      </c>
      <c r="B35" s="3">
        <f t="shared" si="0"/>
        <v>1.89</v>
      </c>
      <c r="C35">
        <v>1890</v>
      </c>
      <c r="D35">
        <v>95</v>
      </c>
      <c r="E35" s="150">
        <v>4.3297999999999996</v>
      </c>
      <c r="F35" s="4" t="s">
        <v>374</v>
      </c>
      <c r="G35" t="s">
        <v>375</v>
      </c>
      <c r="H35" s="5">
        <v>45413</v>
      </c>
      <c r="I35" s="5">
        <v>51501</v>
      </c>
      <c r="J35" s="8"/>
      <c r="L35">
        <v>12</v>
      </c>
      <c r="M35" s="149">
        <v>0.47299999999999998</v>
      </c>
      <c r="N35">
        <v>473</v>
      </c>
      <c r="O35" s="149">
        <v>5.6760000000000002</v>
      </c>
      <c r="P35" s="149">
        <v>5676</v>
      </c>
      <c r="Q35">
        <v>95</v>
      </c>
      <c r="R35" s="150">
        <v>12.3161</v>
      </c>
      <c r="S35" t="s">
        <v>865</v>
      </c>
      <c r="T35" t="s">
        <v>866</v>
      </c>
      <c r="U35" s="5">
        <v>45413</v>
      </c>
      <c r="V35" s="5">
        <v>51501</v>
      </c>
      <c r="W35" s="7"/>
      <c r="AE35" s="69"/>
      <c r="AF35" s="78"/>
    </row>
    <row r="36" spans="1:32" x14ac:dyDescent="0.3">
      <c r="A36">
        <v>1</v>
      </c>
      <c r="B36" s="3">
        <f t="shared" si="0"/>
        <v>2</v>
      </c>
      <c r="C36">
        <v>2000</v>
      </c>
      <c r="D36">
        <v>95</v>
      </c>
      <c r="E36" s="150">
        <v>4.3407999999999998</v>
      </c>
      <c r="F36" s="4" t="s">
        <v>376</v>
      </c>
      <c r="G36" t="s">
        <v>377</v>
      </c>
      <c r="H36" s="5">
        <v>45413</v>
      </c>
      <c r="I36" s="5">
        <v>51501</v>
      </c>
      <c r="J36" s="8"/>
      <c r="L36">
        <v>24</v>
      </c>
      <c r="M36" s="149">
        <v>0.47299999999999998</v>
      </c>
      <c r="N36">
        <v>473</v>
      </c>
      <c r="O36" s="149">
        <v>11.352</v>
      </c>
      <c r="P36" s="149">
        <v>11352</v>
      </c>
      <c r="Q36">
        <v>95</v>
      </c>
      <c r="R36" s="150">
        <v>24.632200000000001</v>
      </c>
      <c r="S36" t="s">
        <v>867</v>
      </c>
      <c r="T36" t="s">
        <v>868</v>
      </c>
      <c r="U36" s="5">
        <v>45413</v>
      </c>
      <c r="V36" s="5">
        <v>51501</v>
      </c>
      <c r="W36" s="7"/>
      <c r="AE36" s="69"/>
      <c r="AF36" s="78"/>
    </row>
    <row r="37" spans="1:32" x14ac:dyDescent="0.3">
      <c r="A37">
        <v>1</v>
      </c>
      <c r="B37" s="3">
        <f t="shared" si="0"/>
        <v>3</v>
      </c>
      <c r="C37">
        <v>3000</v>
      </c>
      <c r="D37">
        <v>95</v>
      </c>
      <c r="E37" s="150">
        <v>6.5114000000000001</v>
      </c>
      <c r="F37" s="4" t="s">
        <v>378</v>
      </c>
      <c r="G37" t="s">
        <v>379</v>
      </c>
      <c r="H37" s="5">
        <v>45413</v>
      </c>
      <c r="I37" s="5">
        <v>51501</v>
      </c>
      <c r="J37" s="8"/>
      <c r="L37">
        <v>15</v>
      </c>
      <c r="M37" s="149">
        <v>0.35499999999999998</v>
      </c>
      <c r="N37">
        <v>355</v>
      </c>
      <c r="O37" s="149">
        <v>5.3249999999999993</v>
      </c>
      <c r="P37" s="149">
        <v>5325</v>
      </c>
      <c r="Q37">
        <v>95</v>
      </c>
      <c r="R37" s="150">
        <v>12.824199999999999</v>
      </c>
      <c r="S37" t="s">
        <v>869</v>
      </c>
      <c r="T37" t="s">
        <v>870</v>
      </c>
      <c r="U37" s="5">
        <v>45413</v>
      </c>
      <c r="V37" s="5">
        <v>51501</v>
      </c>
      <c r="W37" s="7"/>
      <c r="AE37" s="69"/>
      <c r="AF37" s="78"/>
    </row>
    <row r="38" spans="1:32" x14ac:dyDescent="0.3">
      <c r="A38">
        <v>1</v>
      </c>
      <c r="B38" s="3">
        <f t="shared" si="0"/>
        <v>4</v>
      </c>
      <c r="C38">
        <v>4000</v>
      </c>
      <c r="D38">
        <v>95</v>
      </c>
      <c r="E38" s="150">
        <v>8.6818000000000008</v>
      </c>
      <c r="F38" s="4" t="s">
        <v>380</v>
      </c>
      <c r="G38" t="s">
        <v>381</v>
      </c>
      <c r="H38" s="5">
        <v>45413</v>
      </c>
      <c r="I38" s="5">
        <v>51501</v>
      </c>
      <c r="J38" s="8"/>
      <c r="L38">
        <v>24</v>
      </c>
      <c r="M38" s="149">
        <v>0.34100000000000003</v>
      </c>
      <c r="N38">
        <v>341</v>
      </c>
      <c r="O38" s="149">
        <v>8.1839999999999993</v>
      </c>
      <c r="P38" s="149">
        <v>8184</v>
      </c>
      <c r="Q38">
        <v>95</v>
      </c>
      <c r="R38" s="89">
        <v>19.7088</v>
      </c>
      <c r="S38" t="s">
        <v>871</v>
      </c>
      <c r="T38" t="s">
        <v>872</v>
      </c>
      <c r="U38" s="5">
        <v>45413</v>
      </c>
      <c r="V38" s="5">
        <v>51501</v>
      </c>
      <c r="W38" s="7"/>
      <c r="AE38" s="69"/>
      <c r="AF38" s="78"/>
    </row>
    <row r="39" spans="1:32" x14ac:dyDescent="0.3">
      <c r="A39">
        <v>1</v>
      </c>
      <c r="B39" s="3">
        <f t="shared" si="0"/>
        <v>19.5</v>
      </c>
      <c r="C39">
        <v>19500</v>
      </c>
      <c r="D39">
        <v>95</v>
      </c>
      <c r="E39" s="150">
        <v>42.323599999999999</v>
      </c>
      <c r="F39" s="4" t="s">
        <v>382</v>
      </c>
      <c r="G39" t="s">
        <v>383</v>
      </c>
      <c r="H39" s="5">
        <v>45413</v>
      </c>
      <c r="I39" s="5">
        <v>51501</v>
      </c>
      <c r="J39" s="8"/>
      <c r="L39">
        <v>30</v>
      </c>
      <c r="M39" s="149">
        <v>0.35499999999999998</v>
      </c>
      <c r="N39">
        <v>355</v>
      </c>
      <c r="O39" s="149">
        <v>10.65</v>
      </c>
      <c r="P39" s="149">
        <v>10650</v>
      </c>
      <c r="Q39">
        <v>95</v>
      </c>
      <c r="R39" s="89">
        <v>25.648399999999999</v>
      </c>
      <c r="S39" t="s">
        <v>1236</v>
      </c>
      <c r="T39" t="s">
        <v>1288</v>
      </c>
      <c r="U39" s="90">
        <v>45413</v>
      </c>
      <c r="V39" s="90">
        <v>51501</v>
      </c>
      <c r="W39" s="7"/>
      <c r="AE39" s="69"/>
      <c r="AF39" s="78"/>
    </row>
    <row r="40" spans="1:32" x14ac:dyDescent="0.3">
      <c r="A40">
        <v>1</v>
      </c>
      <c r="B40" s="3">
        <f t="shared" si="0"/>
        <v>20</v>
      </c>
      <c r="C40">
        <v>20000</v>
      </c>
      <c r="D40">
        <v>95</v>
      </c>
      <c r="E40" s="150">
        <v>43.409199999999998</v>
      </c>
      <c r="F40" s="4" t="s">
        <v>384</v>
      </c>
      <c r="G40" t="s">
        <v>385</v>
      </c>
      <c r="H40" s="5">
        <v>45413</v>
      </c>
      <c r="I40" s="5">
        <v>51501</v>
      </c>
      <c r="J40" s="8"/>
      <c r="L40">
        <v>3</v>
      </c>
      <c r="M40" s="149">
        <v>0.375</v>
      </c>
      <c r="N40">
        <v>375</v>
      </c>
      <c r="O40" s="149">
        <v>1.125</v>
      </c>
      <c r="P40" s="149">
        <v>1125</v>
      </c>
      <c r="Q40">
        <v>95</v>
      </c>
      <c r="R40" s="89">
        <v>3.5322</v>
      </c>
      <c r="S40" t="s">
        <v>1238</v>
      </c>
      <c r="T40" t="s">
        <v>1290</v>
      </c>
      <c r="U40" s="90">
        <v>45413</v>
      </c>
      <c r="V40" s="90">
        <v>51501</v>
      </c>
      <c r="W40" s="7"/>
      <c r="AE40" s="69"/>
      <c r="AF40" s="78"/>
    </row>
    <row r="41" spans="1:32" x14ac:dyDescent="0.3">
      <c r="A41">
        <v>1</v>
      </c>
      <c r="B41" s="3">
        <f t="shared" si="0"/>
        <v>25</v>
      </c>
      <c r="C41">
        <v>25000</v>
      </c>
      <c r="D41">
        <v>95</v>
      </c>
      <c r="E41" s="150">
        <v>54.259700000000002</v>
      </c>
      <c r="F41" s="4" t="s">
        <v>386</v>
      </c>
      <c r="G41" t="s">
        <v>387</v>
      </c>
      <c r="H41" s="5">
        <v>45413</v>
      </c>
      <c r="I41" s="5">
        <v>51501</v>
      </c>
      <c r="J41" s="8"/>
      <c r="L41">
        <v>4</v>
      </c>
      <c r="M41" s="149">
        <v>0.2</v>
      </c>
      <c r="N41">
        <v>200</v>
      </c>
      <c r="O41" s="149">
        <v>0.8</v>
      </c>
      <c r="P41" s="149">
        <v>800</v>
      </c>
      <c r="Q41">
        <v>95</v>
      </c>
      <c r="R41" s="89">
        <v>2.6048</v>
      </c>
      <c r="S41" t="s">
        <v>1465</v>
      </c>
      <c r="T41" t="s">
        <v>1466</v>
      </c>
      <c r="U41" s="90">
        <v>45499</v>
      </c>
      <c r="V41" s="90">
        <v>51501</v>
      </c>
      <c r="W41" s="7"/>
      <c r="AE41" s="69"/>
      <c r="AF41" s="78"/>
    </row>
    <row r="42" spans="1:32" x14ac:dyDescent="0.3">
      <c r="A42">
        <v>1</v>
      </c>
      <c r="B42" s="3">
        <f t="shared" si="0"/>
        <v>30</v>
      </c>
      <c r="C42">
        <v>30000</v>
      </c>
      <c r="D42">
        <v>95</v>
      </c>
      <c r="E42" s="150">
        <v>65.113799999999998</v>
      </c>
      <c r="F42" s="4" t="s">
        <v>388</v>
      </c>
      <c r="G42" t="s">
        <v>389</v>
      </c>
      <c r="H42" s="5">
        <v>45413</v>
      </c>
      <c r="I42" s="5">
        <v>51501</v>
      </c>
      <c r="J42" s="8"/>
      <c r="L42">
        <v>4</v>
      </c>
      <c r="M42" s="149">
        <v>0.28499999999999998</v>
      </c>
      <c r="N42">
        <v>285</v>
      </c>
      <c r="O42">
        <v>1.1399999999999999</v>
      </c>
      <c r="P42">
        <v>1140</v>
      </c>
      <c r="Q42">
        <v>95</v>
      </c>
      <c r="R42" s="150">
        <v>3.71</v>
      </c>
      <c r="S42" t="s">
        <v>1475</v>
      </c>
      <c r="T42" t="s">
        <v>1476</v>
      </c>
      <c r="U42" s="90">
        <v>45520</v>
      </c>
      <c r="V42" s="90">
        <v>51501</v>
      </c>
      <c r="W42" s="7"/>
      <c r="AE42" s="69"/>
      <c r="AF42" s="78"/>
    </row>
    <row r="43" spans="1:32" x14ac:dyDescent="0.3">
      <c r="A43">
        <v>1</v>
      </c>
      <c r="B43" s="3">
        <f t="shared" si="0"/>
        <v>50</v>
      </c>
      <c r="C43">
        <v>50000</v>
      </c>
      <c r="D43">
        <v>95</v>
      </c>
      <c r="E43" s="150">
        <v>108.53440000000001</v>
      </c>
      <c r="F43" s="4" t="s">
        <v>390</v>
      </c>
      <c r="G43" t="s">
        <v>391</v>
      </c>
      <c r="H43" s="5">
        <v>45413</v>
      </c>
      <c r="I43" s="5">
        <v>51501</v>
      </c>
      <c r="J43" s="8"/>
      <c r="L43">
        <v>6</v>
      </c>
      <c r="M43" s="149">
        <v>0.28499999999999998</v>
      </c>
      <c r="N43">
        <v>285</v>
      </c>
      <c r="O43">
        <v>1.71</v>
      </c>
      <c r="P43">
        <v>1171</v>
      </c>
      <c r="Q43">
        <v>95</v>
      </c>
      <c r="R43" s="150">
        <v>5.3689999999999998</v>
      </c>
      <c r="S43" t="s">
        <v>1472</v>
      </c>
      <c r="T43" t="s">
        <v>1473</v>
      </c>
      <c r="U43" s="90">
        <v>45512</v>
      </c>
      <c r="V43" s="90">
        <v>51501</v>
      </c>
      <c r="W43" s="7"/>
      <c r="AE43" s="69"/>
      <c r="AF43" s="78"/>
    </row>
    <row r="44" spans="1:32" x14ac:dyDescent="0.3">
      <c r="A44">
        <v>1</v>
      </c>
      <c r="B44" s="3">
        <f t="shared" si="0"/>
        <v>58.5</v>
      </c>
      <c r="C44">
        <v>58500</v>
      </c>
      <c r="D44">
        <v>95</v>
      </c>
      <c r="E44" s="150">
        <v>122.80459999999999</v>
      </c>
      <c r="F44" s="4" t="s">
        <v>392</v>
      </c>
      <c r="G44" t="s">
        <v>393</v>
      </c>
      <c r="H44" s="5">
        <v>45413</v>
      </c>
      <c r="I44" s="5">
        <v>51501</v>
      </c>
      <c r="J44" s="8"/>
      <c r="W44" s="133"/>
      <c r="AE44" s="69"/>
      <c r="AF44" s="78"/>
    </row>
    <row r="45" spans="1:32" x14ac:dyDescent="0.3">
      <c r="A45">
        <v>1</v>
      </c>
      <c r="B45" s="3">
        <f t="shared" si="0"/>
        <v>58.6</v>
      </c>
      <c r="C45">
        <v>58600</v>
      </c>
      <c r="D45">
        <v>95</v>
      </c>
      <c r="E45" s="150">
        <v>123.0141</v>
      </c>
      <c r="F45" s="4" t="s">
        <v>394</v>
      </c>
      <c r="G45" t="s">
        <v>395</v>
      </c>
      <c r="H45" s="5">
        <v>45413</v>
      </c>
      <c r="I45" s="5">
        <v>51501</v>
      </c>
      <c r="J45" s="8"/>
      <c r="W45" s="133"/>
      <c r="AE45" s="69"/>
      <c r="AF45" s="78"/>
    </row>
    <row r="46" spans="1:32" x14ac:dyDescent="0.3">
      <c r="A46">
        <v>1</v>
      </c>
      <c r="B46" s="3">
        <v>0.37</v>
      </c>
      <c r="C46">
        <v>370</v>
      </c>
      <c r="D46">
        <v>95</v>
      </c>
      <c r="E46" s="150">
        <v>1.2051000000000001</v>
      </c>
      <c r="F46" t="s">
        <v>845</v>
      </c>
      <c r="G46" t="s">
        <v>846</v>
      </c>
      <c r="H46" s="5">
        <v>45413</v>
      </c>
      <c r="I46" s="5">
        <v>51501</v>
      </c>
      <c r="J46" s="8"/>
      <c r="W46" s="133"/>
      <c r="AE46" s="69"/>
      <c r="AF46" s="78"/>
    </row>
    <row r="47" spans="1:32" x14ac:dyDescent="0.3">
      <c r="A47">
        <v>1</v>
      </c>
      <c r="B47" s="3">
        <v>29.33</v>
      </c>
      <c r="C47">
        <v>29330</v>
      </c>
      <c r="D47">
        <v>95</v>
      </c>
      <c r="E47" s="150">
        <v>63.659500000000001</v>
      </c>
      <c r="F47" t="s">
        <v>847</v>
      </c>
      <c r="G47" t="s">
        <v>848</v>
      </c>
      <c r="H47" s="5">
        <v>45413</v>
      </c>
      <c r="I47" s="5">
        <v>51501</v>
      </c>
      <c r="J47" s="8"/>
      <c r="AE47" s="69"/>
      <c r="AF47" s="78"/>
    </row>
    <row r="48" spans="1:32" x14ac:dyDescent="0.3">
      <c r="A48">
        <v>1</v>
      </c>
      <c r="B48" s="3">
        <v>10</v>
      </c>
      <c r="C48">
        <v>10000</v>
      </c>
      <c r="D48">
        <v>95</v>
      </c>
      <c r="E48" s="150">
        <v>21.7044</v>
      </c>
      <c r="F48" t="s">
        <v>849</v>
      </c>
      <c r="G48" t="s">
        <v>850</v>
      </c>
      <c r="H48" s="5">
        <v>45413</v>
      </c>
      <c r="I48" s="5">
        <v>51501</v>
      </c>
      <c r="J48" s="8"/>
      <c r="AE48" s="69"/>
      <c r="AF48" s="78"/>
    </row>
    <row r="49" spans="1:32" x14ac:dyDescent="0.3">
      <c r="A49">
        <v>1</v>
      </c>
      <c r="B49" s="3">
        <v>19</v>
      </c>
      <c r="C49">
        <v>19000</v>
      </c>
      <c r="D49">
        <v>95</v>
      </c>
      <c r="E49" s="150">
        <v>41.238100000000003</v>
      </c>
      <c r="F49" t="s">
        <v>851</v>
      </c>
      <c r="G49" t="s">
        <v>852</v>
      </c>
      <c r="H49" s="5">
        <v>45413</v>
      </c>
      <c r="I49" s="5">
        <v>51501</v>
      </c>
      <c r="J49" s="8"/>
      <c r="AE49" s="69"/>
      <c r="AF49" s="78"/>
    </row>
    <row r="50" spans="1:32" x14ac:dyDescent="0.3">
      <c r="A50">
        <v>1</v>
      </c>
      <c r="B50" s="3">
        <v>1.1830000000000001</v>
      </c>
      <c r="C50">
        <v>1183</v>
      </c>
      <c r="D50">
        <v>95</v>
      </c>
      <c r="E50" s="89">
        <v>1.1697</v>
      </c>
      <c r="F50" t="s">
        <v>1234</v>
      </c>
      <c r="G50" t="s">
        <v>1286</v>
      </c>
      <c r="H50" s="90">
        <v>45413</v>
      </c>
      <c r="I50" s="90">
        <v>51501</v>
      </c>
      <c r="J50" s="8"/>
    </row>
    <row r="51" spans="1:32" x14ac:dyDescent="0.3">
      <c r="A51">
        <v>1</v>
      </c>
      <c r="B51" s="3">
        <v>0.255</v>
      </c>
      <c r="C51">
        <v>255</v>
      </c>
      <c r="D51">
        <v>95</v>
      </c>
      <c r="E51" s="89">
        <v>0.82979999999999998</v>
      </c>
      <c r="F51" t="s">
        <v>1235</v>
      </c>
      <c r="G51" t="s">
        <v>1287</v>
      </c>
      <c r="H51" s="90">
        <v>45413</v>
      </c>
      <c r="I51" s="90">
        <v>51501</v>
      </c>
      <c r="J51" s="8"/>
    </row>
    <row r="52" spans="1:32" x14ac:dyDescent="0.3">
      <c r="A52">
        <v>1</v>
      </c>
      <c r="B52" s="3">
        <v>0.39600000000000002</v>
      </c>
      <c r="C52">
        <v>396</v>
      </c>
      <c r="D52">
        <v>95</v>
      </c>
      <c r="E52" s="89">
        <v>1.2616000000000001</v>
      </c>
      <c r="F52" t="s">
        <v>1237</v>
      </c>
      <c r="G52" t="s">
        <v>1289</v>
      </c>
      <c r="H52" s="90">
        <v>45408</v>
      </c>
      <c r="I52" s="90">
        <v>51501</v>
      </c>
      <c r="J52" s="8"/>
    </row>
    <row r="53" spans="1:32" x14ac:dyDescent="0.3">
      <c r="A53">
        <v>1</v>
      </c>
      <c r="B53" s="3">
        <v>5</v>
      </c>
      <c r="C53">
        <v>5000</v>
      </c>
      <c r="D53">
        <v>95</v>
      </c>
      <c r="E53" s="89">
        <v>10.8521</v>
      </c>
      <c r="F53" t="s">
        <v>1239</v>
      </c>
      <c r="G53" t="s">
        <v>1291</v>
      </c>
      <c r="H53" s="90">
        <v>45413</v>
      </c>
      <c r="I53" s="90">
        <v>51501</v>
      </c>
      <c r="J53" s="8"/>
    </row>
    <row r="54" spans="1:32" x14ac:dyDescent="0.3">
      <c r="A54">
        <v>1</v>
      </c>
      <c r="B54" s="3">
        <v>6</v>
      </c>
      <c r="C54">
        <v>6000</v>
      </c>
      <c r="D54">
        <v>95</v>
      </c>
      <c r="E54" s="89">
        <v>13.022600000000001</v>
      </c>
      <c r="F54" t="s">
        <v>1240</v>
      </c>
      <c r="G54" t="s">
        <v>1292</v>
      </c>
      <c r="H54" s="90">
        <v>45413</v>
      </c>
      <c r="I54" s="90">
        <v>51501</v>
      </c>
      <c r="J54" s="8"/>
    </row>
  </sheetData>
  <conditionalFormatting sqref="O2:P38">
    <cfRule type="duplicateValues" dxfId="12" priority="5"/>
  </conditionalFormatting>
  <conditionalFormatting sqref="O39:P39">
    <cfRule type="duplicateValues" dxfId="11" priority="4"/>
  </conditionalFormatting>
  <conditionalFormatting sqref="O40:P40">
    <cfRule type="duplicateValues" dxfId="10" priority="3"/>
  </conditionalFormatting>
  <conditionalFormatting sqref="O41:P41">
    <cfRule type="duplicateValues" dxfId="9" priority="2"/>
  </conditionalFormatting>
  <conditionalFormatting sqref="P1:P1048576">
    <cfRule type="duplicateValues" dxfId="8" priority="1"/>
  </conditionalFormatting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BT71"/>
  <sheetViews>
    <sheetView workbookViewId="0"/>
  </sheetViews>
  <sheetFormatPr defaultRowHeight="14.4" x14ac:dyDescent="0.3"/>
  <cols>
    <col min="5" max="5" width="17.21875" bestFit="1" customWidth="1"/>
    <col min="7" max="7" width="26.77734375" bestFit="1" customWidth="1"/>
    <col min="8" max="8" width="12.44140625" bestFit="1" customWidth="1"/>
    <col min="9" max="9" width="10.77734375" bestFit="1" customWidth="1"/>
    <col min="10" max="10" width="6.44140625" bestFit="1" customWidth="1"/>
    <col min="11" max="11" width="2.21875" customWidth="1"/>
    <col min="17" max="17" width="17.21875" bestFit="1" customWidth="1"/>
    <col min="19" max="19" width="26.77734375" bestFit="1" customWidth="1"/>
    <col min="20" max="20" width="12.44140625" bestFit="1" customWidth="1"/>
    <col min="21" max="21" width="10.77734375" bestFit="1" customWidth="1"/>
    <col min="22" max="22" width="6.44140625" bestFit="1" customWidth="1"/>
    <col min="23" max="23" width="2.21875" customWidth="1"/>
    <col min="25" max="25" width="10.77734375" bestFit="1" customWidth="1"/>
    <col min="31" max="31" width="18.21875" customWidth="1"/>
    <col min="32" max="32" width="15.77734375" customWidth="1"/>
    <col min="33" max="33" width="13.5546875" bestFit="1" customWidth="1"/>
    <col min="34" max="34" width="11" bestFit="1" customWidth="1"/>
    <col min="35" max="35" width="1.77734375" customWidth="1"/>
    <col min="38" max="38" width="8.88671875" style="3"/>
    <col min="41" max="41" width="8.88671875" style="3"/>
    <col min="45" max="45" width="26.77734375" bestFit="1" customWidth="1"/>
    <col min="46" max="46" width="13.5546875" bestFit="1" customWidth="1"/>
    <col min="47" max="47" width="11" bestFit="1" customWidth="1"/>
    <col min="48" max="48" width="6.44140625" bestFit="1" customWidth="1"/>
    <col min="49" max="49" width="1.77734375" customWidth="1"/>
    <col min="59" max="59" width="29" bestFit="1" customWidth="1"/>
    <col min="60" max="60" width="13.5546875" bestFit="1" customWidth="1"/>
    <col min="61" max="61" width="11" bestFit="1" customWidth="1"/>
    <col min="63" max="63" width="2" customWidth="1"/>
  </cols>
  <sheetData>
    <row r="1" spans="1:72" x14ac:dyDescent="0.3">
      <c r="A1" s="1" t="s">
        <v>396</v>
      </c>
      <c r="K1" s="7"/>
      <c r="M1" s="1" t="s">
        <v>397</v>
      </c>
      <c r="W1" s="7"/>
      <c r="Y1" s="1" t="s">
        <v>398</v>
      </c>
      <c r="AK1" s="1" t="s">
        <v>399</v>
      </c>
      <c r="AY1" s="1" t="s">
        <v>400</v>
      </c>
    </row>
    <row r="2" spans="1:72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/>
      <c r="K2" s="6"/>
      <c r="M2" s="1" t="s">
        <v>0</v>
      </c>
      <c r="N2" s="1" t="s">
        <v>1</v>
      </c>
      <c r="O2" s="1" t="s">
        <v>2</v>
      </c>
      <c r="P2" s="1" t="s">
        <v>3</v>
      </c>
      <c r="Q2" s="1" t="s">
        <v>4</v>
      </c>
      <c r="R2" s="1" t="s">
        <v>5</v>
      </c>
      <c r="S2" s="1" t="s">
        <v>6</v>
      </c>
      <c r="T2" s="1" t="s">
        <v>7</v>
      </c>
      <c r="U2" s="1" t="s">
        <v>8</v>
      </c>
      <c r="V2" s="1"/>
      <c r="W2" s="6"/>
      <c r="Y2" s="1" t="s">
        <v>0</v>
      </c>
      <c r="Z2" s="1" t="s">
        <v>1</v>
      </c>
      <c r="AA2" s="1" t="s">
        <v>2</v>
      </c>
      <c r="AB2" s="1" t="s">
        <v>3</v>
      </c>
      <c r="AC2" s="1" t="s">
        <v>4</v>
      </c>
      <c r="AD2" s="1" t="s">
        <v>5</v>
      </c>
      <c r="AE2" s="1" t="s">
        <v>6</v>
      </c>
      <c r="AF2" s="1" t="s">
        <v>7</v>
      </c>
      <c r="AG2" s="1" t="s">
        <v>8</v>
      </c>
      <c r="AH2" s="1"/>
      <c r="AI2" s="7"/>
      <c r="AK2" s="1" t="s">
        <v>0</v>
      </c>
      <c r="AL2" s="9" t="s">
        <v>1</v>
      </c>
      <c r="AM2" s="1" t="s">
        <v>2</v>
      </c>
      <c r="AN2" s="1" t="s">
        <v>1398</v>
      </c>
      <c r="AO2" s="9" t="s">
        <v>86</v>
      </c>
      <c r="AP2" s="1" t="s">
        <v>3</v>
      </c>
      <c r="AQ2" s="1" t="s">
        <v>4</v>
      </c>
      <c r="AR2" s="1" t="s">
        <v>5</v>
      </c>
      <c r="AS2" s="1" t="s">
        <v>6</v>
      </c>
      <c r="AT2" s="1" t="s">
        <v>7</v>
      </c>
      <c r="AU2" s="1" t="s">
        <v>8</v>
      </c>
      <c r="AW2" s="7"/>
      <c r="AY2" s="1" t="s">
        <v>0</v>
      </c>
      <c r="AZ2" s="9" t="s">
        <v>1</v>
      </c>
      <c r="BA2" s="1" t="s">
        <v>2</v>
      </c>
      <c r="BB2" s="1" t="s">
        <v>1398</v>
      </c>
      <c r="BC2" s="9" t="s">
        <v>86</v>
      </c>
      <c r="BD2" s="1" t="s">
        <v>3</v>
      </c>
      <c r="BE2" s="1" t="s">
        <v>4</v>
      </c>
      <c r="BF2" s="1" t="s">
        <v>5</v>
      </c>
      <c r="BG2" s="1" t="s">
        <v>6</v>
      </c>
      <c r="BH2" s="1" t="s">
        <v>7</v>
      </c>
      <c r="BI2" s="1" t="s">
        <v>8</v>
      </c>
      <c r="BK2" s="7"/>
    </row>
    <row r="3" spans="1:72" x14ac:dyDescent="0.3">
      <c r="A3">
        <v>1</v>
      </c>
      <c r="B3" s="3">
        <v>1</v>
      </c>
      <c r="C3">
        <v>1000</v>
      </c>
      <c r="D3">
        <v>75</v>
      </c>
      <c r="E3" s="150">
        <v>2.2663000000000002</v>
      </c>
      <c r="F3" s="4" t="s">
        <v>401</v>
      </c>
      <c r="G3" t="s">
        <v>402</v>
      </c>
      <c r="H3" s="5">
        <v>45413</v>
      </c>
      <c r="I3" s="5">
        <v>51501</v>
      </c>
      <c r="J3" t="s">
        <v>403</v>
      </c>
      <c r="K3" s="7"/>
      <c r="M3">
        <v>1</v>
      </c>
      <c r="N3" s="3">
        <f>O3/1000</f>
        <v>1</v>
      </c>
      <c r="O3">
        <v>1000</v>
      </c>
      <c r="P3">
        <v>75</v>
      </c>
      <c r="Q3" s="69">
        <v>2.2663000000000002</v>
      </c>
      <c r="R3" s="4" t="s">
        <v>404</v>
      </c>
      <c r="S3" t="s">
        <v>405</v>
      </c>
      <c r="T3" s="5">
        <v>45413</v>
      </c>
      <c r="U3" s="5">
        <v>51501</v>
      </c>
      <c r="V3" t="s">
        <v>406</v>
      </c>
      <c r="W3" s="7"/>
      <c r="Y3">
        <v>1</v>
      </c>
      <c r="Z3" s="3">
        <f t="shared" ref="Z3:Z13" si="0">AA3/1000</f>
        <v>19</v>
      </c>
      <c r="AA3">
        <v>19000</v>
      </c>
      <c r="AB3">
        <v>75</v>
      </c>
      <c r="AC3">
        <v>28.558900000000001</v>
      </c>
      <c r="AD3" s="4" t="s">
        <v>407</v>
      </c>
      <c r="AE3" t="s">
        <v>408</v>
      </c>
      <c r="AF3" s="5">
        <v>45413</v>
      </c>
      <c r="AG3" s="5">
        <v>51501</v>
      </c>
      <c r="AH3" t="s">
        <v>409</v>
      </c>
      <c r="AI3" s="7"/>
      <c r="AK3">
        <v>2</v>
      </c>
      <c r="AL3" s="3">
        <f t="shared" ref="AL3:AL33" si="1">AM3/1000</f>
        <v>0.34100000000000003</v>
      </c>
      <c r="AM3">
        <v>341</v>
      </c>
      <c r="AN3">
        <v>682</v>
      </c>
      <c r="AO3" s="3">
        <f t="shared" ref="AO3:AO45" si="2">AK3*AL3</f>
        <v>0.68200000000000005</v>
      </c>
      <c r="AP3">
        <v>75</v>
      </c>
      <c r="AQ3" s="69">
        <v>1.5456000000000001</v>
      </c>
      <c r="AR3" s="4" t="s">
        <v>410</v>
      </c>
      <c r="AS3" t="s">
        <v>411</v>
      </c>
      <c r="AT3" s="5">
        <v>45413</v>
      </c>
      <c r="AU3" s="5">
        <v>51501</v>
      </c>
      <c r="AV3" t="s">
        <v>406</v>
      </c>
      <c r="AW3" s="7"/>
      <c r="AY3">
        <v>6</v>
      </c>
      <c r="AZ3" s="3">
        <v>0.13500000000000001</v>
      </c>
      <c r="BA3">
        <v>135</v>
      </c>
      <c r="BB3">
        <v>810</v>
      </c>
      <c r="BC3" s="3">
        <f t="shared" ref="BC3:BC44" si="3">AY3*AZ3</f>
        <v>0.81</v>
      </c>
      <c r="BD3">
        <v>75</v>
      </c>
      <c r="BE3">
        <v>1.8357000000000001</v>
      </c>
      <c r="BF3" s="4" t="s">
        <v>412</v>
      </c>
      <c r="BG3" t="s">
        <v>413</v>
      </c>
      <c r="BH3" s="5">
        <v>45413</v>
      </c>
      <c r="BI3" s="5">
        <v>51501</v>
      </c>
      <c r="BJ3" t="s">
        <v>403</v>
      </c>
      <c r="BK3" s="7"/>
      <c r="BR3" s="69"/>
      <c r="BS3" s="78"/>
      <c r="BT3" s="69"/>
    </row>
    <row r="4" spans="1:72" x14ac:dyDescent="0.3">
      <c r="A4">
        <v>1</v>
      </c>
      <c r="B4" s="3">
        <v>10</v>
      </c>
      <c r="C4">
        <v>10000</v>
      </c>
      <c r="D4">
        <v>75</v>
      </c>
      <c r="E4" s="150">
        <v>19.655999999999999</v>
      </c>
      <c r="F4" s="4" t="s">
        <v>414</v>
      </c>
      <c r="G4" t="s">
        <v>415</v>
      </c>
      <c r="H4" s="5">
        <v>45413</v>
      </c>
      <c r="I4" s="5">
        <v>51501</v>
      </c>
      <c r="J4" t="s">
        <v>403</v>
      </c>
      <c r="K4" s="7"/>
      <c r="M4">
        <v>1</v>
      </c>
      <c r="N4" s="3">
        <f t="shared" ref="N4:N41" si="4">O4/1000</f>
        <v>1.1830000000000001</v>
      </c>
      <c r="O4">
        <v>1183</v>
      </c>
      <c r="P4">
        <v>75</v>
      </c>
      <c r="Q4" s="69">
        <v>2.4074</v>
      </c>
      <c r="R4" s="4" t="s">
        <v>416</v>
      </c>
      <c r="S4" t="s">
        <v>417</v>
      </c>
      <c r="T4" s="5">
        <v>45413</v>
      </c>
      <c r="U4" s="5">
        <v>51501</v>
      </c>
      <c r="V4" t="s">
        <v>406</v>
      </c>
      <c r="W4" s="7"/>
      <c r="Y4">
        <v>1</v>
      </c>
      <c r="Z4" s="3">
        <f t="shared" si="0"/>
        <v>19.600000000000001</v>
      </c>
      <c r="AA4">
        <v>19600</v>
      </c>
      <c r="AB4">
        <v>75</v>
      </c>
      <c r="AC4">
        <v>29.460799999999999</v>
      </c>
      <c r="AD4" s="4" t="s">
        <v>418</v>
      </c>
      <c r="AE4" t="s">
        <v>419</v>
      </c>
      <c r="AF4" s="5">
        <v>45413</v>
      </c>
      <c r="AG4" s="5">
        <v>51501</v>
      </c>
      <c r="AH4" t="s">
        <v>409</v>
      </c>
      <c r="AI4" s="7"/>
      <c r="AK4">
        <v>3</v>
      </c>
      <c r="AL4" s="3">
        <f t="shared" si="1"/>
        <v>0.33</v>
      </c>
      <c r="AM4">
        <v>330</v>
      </c>
      <c r="AN4">
        <v>990</v>
      </c>
      <c r="AO4" s="3">
        <f t="shared" si="2"/>
        <v>0.99</v>
      </c>
      <c r="AP4">
        <v>75</v>
      </c>
      <c r="AQ4" s="69">
        <v>2.2435999999999998</v>
      </c>
      <c r="AR4" s="4" t="s">
        <v>420</v>
      </c>
      <c r="AS4" t="s">
        <v>421</v>
      </c>
      <c r="AT4" s="5">
        <v>45413</v>
      </c>
      <c r="AU4" s="5">
        <v>51501</v>
      </c>
      <c r="AV4" t="s">
        <v>406</v>
      </c>
      <c r="AW4" s="7"/>
      <c r="AY4">
        <v>2</v>
      </c>
      <c r="AZ4" s="3">
        <v>0.5</v>
      </c>
      <c r="BA4">
        <v>500</v>
      </c>
      <c r="BB4">
        <v>1000</v>
      </c>
      <c r="BC4" s="3">
        <f t="shared" si="3"/>
        <v>1</v>
      </c>
      <c r="BD4">
        <v>75</v>
      </c>
      <c r="BE4">
        <v>2.2663000000000002</v>
      </c>
      <c r="BF4" s="4" t="s">
        <v>422</v>
      </c>
      <c r="BG4" t="s">
        <v>423</v>
      </c>
      <c r="BH4" s="5">
        <v>45413</v>
      </c>
      <c r="BI4" s="5">
        <v>51501</v>
      </c>
      <c r="BJ4" t="s">
        <v>403</v>
      </c>
      <c r="BK4" s="7"/>
      <c r="BR4" s="69"/>
      <c r="BS4" s="78"/>
      <c r="BT4" s="69"/>
    </row>
    <row r="5" spans="1:72" x14ac:dyDescent="0.3">
      <c r="A5">
        <v>1</v>
      </c>
      <c r="B5" s="3">
        <v>0.25</v>
      </c>
      <c r="C5">
        <v>250</v>
      </c>
      <c r="D5">
        <v>75</v>
      </c>
      <c r="E5" s="150">
        <v>0.56659999999999999</v>
      </c>
      <c r="F5" s="4" t="s">
        <v>424</v>
      </c>
      <c r="G5" t="s">
        <v>425</v>
      </c>
      <c r="H5" s="5">
        <v>45413</v>
      </c>
      <c r="I5" s="5">
        <v>51501</v>
      </c>
      <c r="J5" t="s">
        <v>403</v>
      </c>
      <c r="K5" s="7"/>
      <c r="M5">
        <v>1</v>
      </c>
      <c r="N5" s="3">
        <f t="shared" si="4"/>
        <v>1.5</v>
      </c>
      <c r="O5">
        <v>1500</v>
      </c>
      <c r="P5">
        <v>75</v>
      </c>
      <c r="Q5" s="69">
        <v>3.0525000000000002</v>
      </c>
      <c r="R5" s="4" t="s">
        <v>426</v>
      </c>
      <c r="S5" t="s">
        <v>427</v>
      </c>
      <c r="T5" s="5">
        <v>45413</v>
      </c>
      <c r="U5" s="5">
        <v>51501</v>
      </c>
      <c r="V5" t="s">
        <v>406</v>
      </c>
      <c r="W5" s="7"/>
      <c r="Y5">
        <v>1</v>
      </c>
      <c r="Z5" s="3">
        <f t="shared" si="0"/>
        <v>20</v>
      </c>
      <c r="AA5">
        <v>20000</v>
      </c>
      <c r="AB5">
        <v>75</v>
      </c>
      <c r="AC5">
        <v>30.062000000000001</v>
      </c>
      <c r="AD5" s="4" t="s">
        <v>428</v>
      </c>
      <c r="AE5" t="s">
        <v>429</v>
      </c>
      <c r="AF5" s="5">
        <v>45413</v>
      </c>
      <c r="AG5" s="5">
        <v>51501</v>
      </c>
      <c r="AH5" t="s">
        <v>409</v>
      </c>
      <c r="AI5" s="7"/>
      <c r="AK5">
        <v>2</v>
      </c>
      <c r="AL5" s="3">
        <f t="shared" si="1"/>
        <v>0.5</v>
      </c>
      <c r="AM5">
        <v>500</v>
      </c>
      <c r="AN5">
        <v>1000</v>
      </c>
      <c r="AO5" s="3">
        <f t="shared" si="2"/>
        <v>1</v>
      </c>
      <c r="AP5">
        <v>75</v>
      </c>
      <c r="AQ5" s="69">
        <v>2.2663000000000002</v>
      </c>
      <c r="AR5" s="4" t="s">
        <v>430</v>
      </c>
      <c r="AS5" t="s">
        <v>431</v>
      </c>
      <c r="AT5" s="5">
        <v>45413</v>
      </c>
      <c r="AU5" s="5">
        <v>51501</v>
      </c>
      <c r="AV5" t="s">
        <v>406</v>
      </c>
      <c r="AW5" s="7"/>
      <c r="AY5">
        <v>2</v>
      </c>
      <c r="AZ5" s="3">
        <v>0.65</v>
      </c>
      <c r="BA5">
        <v>650</v>
      </c>
      <c r="BB5">
        <v>1300</v>
      </c>
      <c r="BC5" s="3">
        <f t="shared" si="3"/>
        <v>1.3</v>
      </c>
      <c r="BD5">
        <v>75</v>
      </c>
      <c r="BE5">
        <v>2.6455000000000002</v>
      </c>
      <c r="BF5" s="4" t="s">
        <v>432</v>
      </c>
      <c r="BG5" t="s">
        <v>433</v>
      </c>
      <c r="BH5" s="5">
        <v>45413</v>
      </c>
      <c r="BI5" s="5">
        <v>51501</v>
      </c>
      <c r="BJ5" t="s">
        <v>403</v>
      </c>
      <c r="BK5" s="7"/>
      <c r="BR5" s="69"/>
      <c r="BS5" s="78"/>
      <c r="BT5" s="69"/>
    </row>
    <row r="6" spans="1:72" x14ac:dyDescent="0.3">
      <c r="A6">
        <v>1</v>
      </c>
      <c r="B6" s="3">
        <v>0.33</v>
      </c>
      <c r="C6">
        <v>330</v>
      </c>
      <c r="D6">
        <v>75</v>
      </c>
      <c r="E6" s="150">
        <v>0.74790000000000001</v>
      </c>
      <c r="F6" s="4" t="s">
        <v>434</v>
      </c>
      <c r="G6" t="s">
        <v>435</v>
      </c>
      <c r="H6" s="5">
        <v>45413</v>
      </c>
      <c r="I6" s="5">
        <v>51501</v>
      </c>
      <c r="J6" t="s">
        <v>403</v>
      </c>
      <c r="K6" s="7"/>
      <c r="M6">
        <v>1</v>
      </c>
      <c r="N6" s="3">
        <f t="shared" si="4"/>
        <v>0.2</v>
      </c>
      <c r="O6">
        <v>200</v>
      </c>
      <c r="P6">
        <v>75</v>
      </c>
      <c r="Q6" s="69">
        <v>0.45329999999999998</v>
      </c>
      <c r="R6" s="4" t="s">
        <v>436</v>
      </c>
      <c r="S6" t="s">
        <v>437</v>
      </c>
      <c r="T6" s="5">
        <v>45413</v>
      </c>
      <c r="U6" s="5">
        <v>51501</v>
      </c>
      <c r="V6" t="s">
        <v>406</v>
      </c>
      <c r="W6" s="7"/>
      <c r="Y6">
        <v>1</v>
      </c>
      <c r="Z6" s="3">
        <f t="shared" si="0"/>
        <v>25</v>
      </c>
      <c r="AA6">
        <v>25000</v>
      </c>
      <c r="AB6">
        <v>75</v>
      </c>
      <c r="AC6">
        <v>37.577500000000001</v>
      </c>
      <c r="AD6" s="4" t="s">
        <v>438</v>
      </c>
      <c r="AE6" t="s">
        <v>439</v>
      </c>
      <c r="AF6" s="5">
        <v>45413</v>
      </c>
      <c r="AG6" s="5">
        <v>51501</v>
      </c>
      <c r="AH6" t="s">
        <v>409</v>
      </c>
      <c r="AI6" s="7"/>
      <c r="AK6">
        <v>4</v>
      </c>
      <c r="AL6" s="3">
        <f t="shared" si="1"/>
        <v>0.25</v>
      </c>
      <c r="AM6">
        <v>250</v>
      </c>
      <c r="AP6">
        <v>75</v>
      </c>
      <c r="AQ6" s="69">
        <v>2.2663000000000002</v>
      </c>
      <c r="AR6" s="4" t="s">
        <v>440</v>
      </c>
      <c r="AS6" t="s">
        <v>441</v>
      </c>
      <c r="AT6" s="5">
        <v>45413</v>
      </c>
      <c r="AU6" s="5">
        <v>51501</v>
      </c>
      <c r="AV6" t="s">
        <v>406</v>
      </c>
      <c r="AW6" s="7"/>
      <c r="AY6">
        <v>3</v>
      </c>
      <c r="AZ6" s="3">
        <v>0.44</v>
      </c>
      <c r="BA6">
        <v>440</v>
      </c>
      <c r="BB6">
        <v>1320</v>
      </c>
      <c r="BC6" s="3">
        <f t="shared" si="3"/>
        <v>1.32</v>
      </c>
      <c r="BD6">
        <v>75</v>
      </c>
      <c r="BE6">
        <v>2.6861999999999999</v>
      </c>
      <c r="BF6" s="4" t="s">
        <v>442</v>
      </c>
      <c r="BG6" t="s">
        <v>443</v>
      </c>
      <c r="BH6" s="5">
        <v>45413</v>
      </c>
      <c r="BI6" s="5">
        <v>51501</v>
      </c>
      <c r="BJ6" t="s">
        <v>403</v>
      </c>
      <c r="BK6" s="7"/>
      <c r="BR6" s="69"/>
      <c r="BS6" s="78"/>
      <c r="BT6" s="69"/>
    </row>
    <row r="7" spans="1:72" x14ac:dyDescent="0.3">
      <c r="A7">
        <v>1</v>
      </c>
      <c r="B7" s="3">
        <v>0.33500000000000002</v>
      </c>
      <c r="C7">
        <v>335</v>
      </c>
      <c r="D7">
        <v>75</v>
      </c>
      <c r="E7" s="150">
        <v>0.75919999999999999</v>
      </c>
      <c r="F7" s="4" t="s">
        <v>444</v>
      </c>
      <c r="G7" t="s">
        <v>445</v>
      </c>
      <c r="H7" s="5">
        <v>45413</v>
      </c>
      <c r="I7" s="5">
        <v>51501</v>
      </c>
      <c r="J7" t="s">
        <v>403</v>
      </c>
      <c r="K7" s="7"/>
      <c r="M7">
        <v>1</v>
      </c>
      <c r="N7" s="3">
        <f t="shared" si="4"/>
        <v>2</v>
      </c>
      <c r="O7">
        <v>2000</v>
      </c>
      <c r="P7">
        <v>75</v>
      </c>
      <c r="Q7" s="69">
        <v>4.07</v>
      </c>
      <c r="R7" s="4" t="s">
        <v>446</v>
      </c>
      <c r="S7" t="s">
        <v>447</v>
      </c>
      <c r="T7" s="5">
        <v>45413</v>
      </c>
      <c r="U7" s="5">
        <v>51501</v>
      </c>
      <c r="V7" t="s">
        <v>406</v>
      </c>
      <c r="W7" s="7"/>
      <c r="Y7">
        <v>1</v>
      </c>
      <c r="Z7" s="3">
        <f t="shared" si="0"/>
        <v>30</v>
      </c>
      <c r="AA7">
        <v>30000</v>
      </c>
      <c r="AB7">
        <v>75</v>
      </c>
      <c r="AC7">
        <v>45.093000000000004</v>
      </c>
      <c r="AD7" s="4" t="s">
        <v>448</v>
      </c>
      <c r="AE7" t="s">
        <v>449</v>
      </c>
      <c r="AF7" s="5">
        <v>45413</v>
      </c>
      <c r="AG7" s="5">
        <v>51501</v>
      </c>
      <c r="AH7" t="s">
        <v>409</v>
      </c>
      <c r="AI7" s="7"/>
      <c r="AK7">
        <v>2</v>
      </c>
      <c r="AL7" s="3">
        <f t="shared" si="1"/>
        <v>0.65</v>
      </c>
      <c r="AM7">
        <v>650</v>
      </c>
      <c r="AN7">
        <v>1300</v>
      </c>
      <c r="AO7" s="3">
        <f t="shared" si="2"/>
        <v>1.3</v>
      </c>
      <c r="AP7">
        <v>75</v>
      </c>
      <c r="AQ7" s="69">
        <v>2.6455000000000002</v>
      </c>
      <c r="AR7" s="4" t="s">
        <v>450</v>
      </c>
      <c r="AS7" t="s">
        <v>451</v>
      </c>
      <c r="AT7" s="5">
        <v>45413</v>
      </c>
      <c r="AU7" s="5">
        <v>51501</v>
      </c>
      <c r="AV7" t="s">
        <v>406</v>
      </c>
      <c r="AW7" s="7"/>
      <c r="AY7">
        <v>4</v>
      </c>
      <c r="AZ7" s="3">
        <v>0.33</v>
      </c>
      <c r="BA7">
        <v>330</v>
      </c>
      <c r="BC7" s="3"/>
      <c r="BD7">
        <v>75</v>
      </c>
      <c r="BE7">
        <v>2.6861999999999999</v>
      </c>
      <c r="BF7" s="4" t="s">
        <v>452</v>
      </c>
      <c r="BG7" t="s">
        <v>453</v>
      </c>
      <c r="BH7" s="5">
        <v>45413</v>
      </c>
      <c r="BI7" s="5">
        <v>51501</v>
      </c>
      <c r="BJ7" t="s">
        <v>403</v>
      </c>
      <c r="BK7" s="7"/>
      <c r="BR7" s="69"/>
      <c r="BS7" s="78"/>
      <c r="BT7" s="69"/>
    </row>
    <row r="8" spans="1:72" x14ac:dyDescent="0.3">
      <c r="A8">
        <v>1</v>
      </c>
      <c r="B8" s="3">
        <v>0.34</v>
      </c>
      <c r="C8">
        <v>340</v>
      </c>
      <c r="D8">
        <v>75</v>
      </c>
      <c r="E8" s="150">
        <v>0.77049999999999996</v>
      </c>
      <c r="F8" s="4" t="s">
        <v>454</v>
      </c>
      <c r="G8" t="s">
        <v>455</v>
      </c>
      <c r="H8" s="5">
        <v>45413</v>
      </c>
      <c r="I8" s="5">
        <v>51501</v>
      </c>
      <c r="J8" t="s">
        <v>403</v>
      </c>
      <c r="K8" s="7"/>
      <c r="M8">
        <v>1</v>
      </c>
      <c r="N8" s="3">
        <f t="shared" si="4"/>
        <v>0.20699999999999999</v>
      </c>
      <c r="O8">
        <v>207</v>
      </c>
      <c r="P8">
        <v>75</v>
      </c>
      <c r="Q8" s="69">
        <v>0.46910000000000002</v>
      </c>
      <c r="R8" s="4" t="s">
        <v>456</v>
      </c>
      <c r="S8" t="s">
        <v>457</v>
      </c>
      <c r="T8" s="5">
        <v>45413</v>
      </c>
      <c r="U8" s="5">
        <v>51501</v>
      </c>
      <c r="V8" t="s">
        <v>406</v>
      </c>
      <c r="W8" s="7"/>
      <c r="Y8">
        <v>1</v>
      </c>
      <c r="Z8" s="3">
        <f t="shared" si="0"/>
        <v>40.909999999999997</v>
      </c>
      <c r="AA8">
        <v>40910</v>
      </c>
      <c r="AB8">
        <v>75</v>
      </c>
      <c r="AC8">
        <v>61.491799999999998</v>
      </c>
      <c r="AD8" s="4" t="s">
        <v>458</v>
      </c>
      <c r="AE8" t="s">
        <v>459</v>
      </c>
      <c r="AF8" s="5">
        <v>45413</v>
      </c>
      <c r="AG8" s="5">
        <v>51501</v>
      </c>
      <c r="AH8" t="s">
        <v>409</v>
      </c>
      <c r="AI8" s="7"/>
      <c r="AK8">
        <v>4</v>
      </c>
      <c r="AL8" s="3">
        <f t="shared" si="1"/>
        <v>0.33</v>
      </c>
      <c r="AM8">
        <v>330</v>
      </c>
      <c r="AN8">
        <v>1320</v>
      </c>
      <c r="AO8" s="3">
        <f t="shared" si="2"/>
        <v>1.32</v>
      </c>
      <c r="AP8">
        <v>75</v>
      </c>
      <c r="AQ8" s="69">
        <v>2.6861999999999999</v>
      </c>
      <c r="AR8" s="4" t="s">
        <v>460</v>
      </c>
      <c r="AS8" t="s">
        <v>461</v>
      </c>
      <c r="AT8" s="5">
        <v>45413</v>
      </c>
      <c r="AU8" s="5">
        <v>51501</v>
      </c>
      <c r="AV8" t="s">
        <v>406</v>
      </c>
      <c r="AW8" s="7"/>
      <c r="AY8">
        <v>3</v>
      </c>
      <c r="AZ8" s="3">
        <v>0.47299999999999998</v>
      </c>
      <c r="BA8">
        <v>473</v>
      </c>
      <c r="BB8">
        <v>1419</v>
      </c>
      <c r="BC8" s="3">
        <f t="shared" si="3"/>
        <v>1.419</v>
      </c>
      <c r="BD8">
        <v>75</v>
      </c>
      <c r="BE8">
        <v>2.8877000000000002</v>
      </c>
      <c r="BF8" s="4" t="s">
        <v>462</v>
      </c>
      <c r="BG8" t="s">
        <v>463</v>
      </c>
      <c r="BH8" s="5">
        <v>45413</v>
      </c>
      <c r="BI8" s="5">
        <v>51501</v>
      </c>
      <c r="BJ8" t="s">
        <v>403</v>
      </c>
      <c r="BK8" s="7"/>
      <c r="BR8" s="69"/>
      <c r="BS8" s="78"/>
      <c r="BT8" s="69"/>
    </row>
    <row r="9" spans="1:72" x14ac:dyDescent="0.3">
      <c r="A9">
        <v>1</v>
      </c>
      <c r="B9" s="3">
        <v>0.34100000000000003</v>
      </c>
      <c r="C9">
        <v>341</v>
      </c>
      <c r="D9">
        <v>75</v>
      </c>
      <c r="E9" s="150">
        <v>0.77280000000000004</v>
      </c>
      <c r="F9" s="4" t="s">
        <v>464</v>
      </c>
      <c r="G9" t="s">
        <v>465</v>
      </c>
      <c r="H9" s="5">
        <v>45413</v>
      </c>
      <c r="I9" s="5">
        <v>51501</v>
      </c>
      <c r="J9" t="s">
        <v>403</v>
      </c>
      <c r="K9" s="7"/>
      <c r="M9">
        <v>1</v>
      </c>
      <c r="N9" s="3">
        <f t="shared" si="4"/>
        <v>0.222</v>
      </c>
      <c r="O9">
        <v>222</v>
      </c>
      <c r="P9">
        <v>75</v>
      </c>
      <c r="Q9" s="69">
        <v>0.50309999999999999</v>
      </c>
      <c r="R9" s="4" t="s">
        <v>466</v>
      </c>
      <c r="S9" t="s">
        <v>467</v>
      </c>
      <c r="T9" s="5">
        <v>45413</v>
      </c>
      <c r="U9" s="5">
        <v>51501</v>
      </c>
      <c r="V9" t="s">
        <v>406</v>
      </c>
      <c r="W9" s="7"/>
      <c r="Y9">
        <v>1</v>
      </c>
      <c r="Z9" s="3">
        <f t="shared" si="0"/>
        <v>45.46</v>
      </c>
      <c r="AA9">
        <v>45460</v>
      </c>
      <c r="AB9">
        <v>75</v>
      </c>
      <c r="AC9">
        <v>68.3309</v>
      </c>
      <c r="AD9" s="4" t="s">
        <v>468</v>
      </c>
      <c r="AE9" t="s">
        <v>469</v>
      </c>
      <c r="AF9" s="5">
        <v>45413</v>
      </c>
      <c r="AG9" s="5">
        <v>51501</v>
      </c>
      <c r="AH9" t="s">
        <v>409</v>
      </c>
      <c r="AI9" s="7"/>
      <c r="AK9">
        <v>4</v>
      </c>
      <c r="AL9" s="3">
        <f t="shared" si="1"/>
        <v>0.34100000000000003</v>
      </c>
      <c r="AM9">
        <v>341</v>
      </c>
      <c r="AN9">
        <v>1364</v>
      </c>
      <c r="AO9" s="3">
        <f t="shared" si="2"/>
        <v>1.3640000000000001</v>
      </c>
      <c r="AP9">
        <v>75</v>
      </c>
      <c r="AQ9" s="69">
        <v>2.7757000000000001</v>
      </c>
      <c r="AR9" s="4" t="s">
        <v>470</v>
      </c>
      <c r="AS9" t="s">
        <v>471</v>
      </c>
      <c r="AT9" s="5">
        <v>45413</v>
      </c>
      <c r="AU9" s="5">
        <v>51501</v>
      </c>
      <c r="AV9" t="s">
        <v>406</v>
      </c>
      <c r="AW9" s="7"/>
      <c r="AY9">
        <v>4</v>
      </c>
      <c r="AZ9" s="3">
        <v>0.47299999999999998</v>
      </c>
      <c r="BA9">
        <v>473</v>
      </c>
      <c r="BB9">
        <v>1892</v>
      </c>
      <c r="BC9" s="3">
        <f t="shared" si="3"/>
        <v>1.8919999999999999</v>
      </c>
      <c r="BD9">
        <v>75</v>
      </c>
      <c r="BE9">
        <v>3.8502000000000001</v>
      </c>
      <c r="BF9" s="4" t="s">
        <v>472</v>
      </c>
      <c r="BG9" t="s">
        <v>473</v>
      </c>
      <c r="BH9" s="5">
        <v>45413</v>
      </c>
      <c r="BI9" s="5">
        <v>51501</v>
      </c>
      <c r="BJ9" t="s">
        <v>403</v>
      </c>
      <c r="BK9" s="7"/>
      <c r="BR9" s="69"/>
      <c r="BS9" s="78"/>
      <c r="BT9" s="69"/>
    </row>
    <row r="10" spans="1:72" x14ac:dyDescent="0.3">
      <c r="A10">
        <v>1</v>
      </c>
      <c r="B10" s="3">
        <v>0.35399999999999998</v>
      </c>
      <c r="C10">
        <v>354</v>
      </c>
      <c r="D10">
        <v>75</v>
      </c>
      <c r="E10" s="150">
        <v>0.80230000000000001</v>
      </c>
      <c r="F10" s="4" t="s">
        <v>474</v>
      </c>
      <c r="G10" t="s">
        <v>475</v>
      </c>
      <c r="H10" s="5">
        <v>45413</v>
      </c>
      <c r="I10" s="5">
        <v>51501</v>
      </c>
      <c r="J10" t="s">
        <v>403</v>
      </c>
      <c r="K10" s="7"/>
      <c r="M10">
        <v>1</v>
      </c>
      <c r="N10" s="3">
        <f t="shared" si="4"/>
        <v>0.25</v>
      </c>
      <c r="O10">
        <v>250</v>
      </c>
      <c r="P10">
        <v>75</v>
      </c>
      <c r="Q10" s="69">
        <v>0.56659999999999999</v>
      </c>
      <c r="R10" s="4" t="s">
        <v>476</v>
      </c>
      <c r="S10" t="s">
        <v>477</v>
      </c>
      <c r="T10" s="5">
        <v>45413</v>
      </c>
      <c r="U10" s="5">
        <v>51501</v>
      </c>
      <c r="V10" t="s">
        <v>406</v>
      </c>
      <c r="W10" s="7"/>
      <c r="Y10">
        <v>1</v>
      </c>
      <c r="Z10" s="3">
        <f t="shared" si="0"/>
        <v>50</v>
      </c>
      <c r="AA10">
        <v>50000</v>
      </c>
      <c r="AB10">
        <v>75</v>
      </c>
      <c r="AC10">
        <v>75.155000000000001</v>
      </c>
      <c r="AD10" s="4" t="s">
        <v>478</v>
      </c>
      <c r="AE10" t="s">
        <v>479</v>
      </c>
      <c r="AF10" s="5">
        <v>45413</v>
      </c>
      <c r="AG10" s="5">
        <v>51501</v>
      </c>
      <c r="AH10" t="s">
        <v>409</v>
      </c>
      <c r="AI10" s="7"/>
      <c r="AK10">
        <v>4</v>
      </c>
      <c r="AL10" s="3">
        <f t="shared" si="1"/>
        <v>0.35499999999999998</v>
      </c>
      <c r="AM10">
        <v>355</v>
      </c>
      <c r="AN10">
        <v>1420</v>
      </c>
      <c r="AO10" s="3">
        <f t="shared" si="2"/>
        <v>1.42</v>
      </c>
      <c r="AP10">
        <v>75</v>
      </c>
      <c r="AQ10" s="69">
        <v>2.8896999999999999</v>
      </c>
      <c r="AR10" s="4" t="s">
        <v>480</v>
      </c>
      <c r="AS10" t="s">
        <v>481</v>
      </c>
      <c r="AT10" s="5">
        <v>45413</v>
      </c>
      <c r="AU10" s="5">
        <v>51501</v>
      </c>
      <c r="AV10" t="s">
        <v>406</v>
      </c>
      <c r="AW10" s="7"/>
      <c r="AY10">
        <v>6</v>
      </c>
      <c r="AZ10" s="3">
        <v>0.33</v>
      </c>
      <c r="BA10">
        <v>330</v>
      </c>
      <c r="BB10">
        <v>1980</v>
      </c>
      <c r="BC10" s="3">
        <f t="shared" si="3"/>
        <v>1.98</v>
      </c>
      <c r="BD10">
        <v>75</v>
      </c>
      <c r="BE10">
        <v>4.0293000000000001</v>
      </c>
      <c r="BF10" s="4" t="s">
        <v>482</v>
      </c>
      <c r="BG10" t="s">
        <v>483</v>
      </c>
      <c r="BH10" s="5">
        <v>45413</v>
      </c>
      <c r="BI10" s="5">
        <v>51501</v>
      </c>
      <c r="BJ10" t="s">
        <v>403</v>
      </c>
      <c r="BK10" s="7"/>
      <c r="BR10" s="69"/>
      <c r="BS10" s="78"/>
      <c r="BT10" s="69"/>
    </row>
    <row r="11" spans="1:72" x14ac:dyDescent="0.3">
      <c r="A11">
        <v>1</v>
      </c>
      <c r="B11" s="3">
        <v>0.35499999999999998</v>
      </c>
      <c r="C11">
        <v>355</v>
      </c>
      <c r="D11">
        <v>75</v>
      </c>
      <c r="E11" s="150">
        <v>0.80449999999999999</v>
      </c>
      <c r="F11" s="4" t="s">
        <v>484</v>
      </c>
      <c r="G11" t="s">
        <v>485</v>
      </c>
      <c r="H11" s="5">
        <v>45413</v>
      </c>
      <c r="I11" s="5">
        <v>51501</v>
      </c>
      <c r="J11" t="s">
        <v>403</v>
      </c>
      <c r="K11" s="7"/>
      <c r="M11">
        <v>1</v>
      </c>
      <c r="N11" s="3">
        <f t="shared" si="4"/>
        <v>0.27500000000000002</v>
      </c>
      <c r="O11">
        <v>275</v>
      </c>
      <c r="P11">
        <v>75</v>
      </c>
      <c r="Q11" s="69">
        <v>0.62319999999999998</v>
      </c>
      <c r="R11" s="4" t="s">
        <v>486</v>
      </c>
      <c r="S11" t="s">
        <v>487</v>
      </c>
      <c r="T11" s="5">
        <v>45413</v>
      </c>
      <c r="U11" s="5">
        <v>51501</v>
      </c>
      <c r="V11" t="s">
        <v>406</v>
      </c>
      <c r="W11" s="7"/>
      <c r="Y11">
        <v>1</v>
      </c>
      <c r="Z11" s="3">
        <f t="shared" si="0"/>
        <v>58.6</v>
      </c>
      <c r="AA11">
        <v>58600</v>
      </c>
      <c r="AB11">
        <v>75</v>
      </c>
      <c r="AC11">
        <v>88.081699999999998</v>
      </c>
      <c r="AD11" s="4" t="s">
        <v>488</v>
      </c>
      <c r="AE11" t="s">
        <v>489</v>
      </c>
      <c r="AF11" s="5">
        <v>45413</v>
      </c>
      <c r="AG11" s="5">
        <v>51501</v>
      </c>
      <c r="AH11" t="s">
        <v>409</v>
      </c>
      <c r="AI11" s="7"/>
      <c r="AK11">
        <v>2</v>
      </c>
      <c r="AL11" s="3">
        <f t="shared" si="1"/>
        <v>0.75</v>
      </c>
      <c r="AM11">
        <v>750</v>
      </c>
      <c r="AN11">
        <v>1500</v>
      </c>
      <c r="AO11" s="3">
        <f t="shared" si="2"/>
        <v>1.5</v>
      </c>
      <c r="AP11">
        <v>75</v>
      </c>
      <c r="AQ11" s="69">
        <v>3.0525000000000002</v>
      </c>
      <c r="AR11" s="4" t="s">
        <v>490</v>
      </c>
      <c r="AS11" t="s">
        <v>491</v>
      </c>
      <c r="AT11" s="5">
        <v>45413</v>
      </c>
      <c r="AU11" s="5">
        <v>51501</v>
      </c>
      <c r="AV11" t="s">
        <v>406</v>
      </c>
      <c r="AW11" s="7"/>
      <c r="AY11">
        <v>6</v>
      </c>
      <c r="AZ11" s="3">
        <v>0.34100000000000003</v>
      </c>
      <c r="BA11">
        <v>341</v>
      </c>
      <c r="BB11">
        <v>2046</v>
      </c>
      <c r="BC11" s="3">
        <f t="shared" si="3"/>
        <v>2.0460000000000003</v>
      </c>
      <c r="BD11">
        <v>75</v>
      </c>
      <c r="BE11">
        <v>4.1635999999999997</v>
      </c>
      <c r="BF11" s="4" t="s">
        <v>492</v>
      </c>
      <c r="BG11" t="s">
        <v>493</v>
      </c>
      <c r="BH11" s="5">
        <v>45413</v>
      </c>
      <c r="BI11" s="5">
        <v>51501</v>
      </c>
      <c r="BJ11" t="s">
        <v>403</v>
      </c>
      <c r="BK11" s="7"/>
      <c r="BR11" s="69"/>
      <c r="BS11" s="78"/>
      <c r="BT11" s="69"/>
    </row>
    <row r="12" spans="1:72" x14ac:dyDescent="0.3">
      <c r="A12">
        <v>1</v>
      </c>
      <c r="B12" s="3">
        <v>0.375</v>
      </c>
      <c r="C12">
        <v>375</v>
      </c>
      <c r="D12">
        <v>75</v>
      </c>
      <c r="E12" s="150">
        <v>0.84989999999999999</v>
      </c>
      <c r="F12" s="4" t="s">
        <v>494</v>
      </c>
      <c r="G12" t="s">
        <v>495</v>
      </c>
      <c r="H12" s="5">
        <v>45413</v>
      </c>
      <c r="I12" s="5">
        <v>51501</v>
      </c>
      <c r="J12" t="s">
        <v>403</v>
      </c>
      <c r="K12" s="7"/>
      <c r="M12">
        <v>1</v>
      </c>
      <c r="N12" s="3">
        <f t="shared" si="4"/>
        <v>0.3</v>
      </c>
      <c r="O12">
        <v>300</v>
      </c>
      <c r="P12">
        <v>75</v>
      </c>
      <c r="Q12" s="69">
        <v>0.67989999999999995</v>
      </c>
      <c r="R12" s="4" t="s">
        <v>496</v>
      </c>
      <c r="S12" t="s">
        <v>497</v>
      </c>
      <c r="T12" s="5">
        <v>45413</v>
      </c>
      <c r="U12" s="5">
        <v>51501</v>
      </c>
      <c r="V12" t="s">
        <v>406</v>
      </c>
      <c r="W12" s="7"/>
      <c r="Y12">
        <v>1</v>
      </c>
      <c r="Z12" s="3">
        <f t="shared" si="0"/>
        <v>58.667999999999999</v>
      </c>
      <c r="AA12">
        <v>58668</v>
      </c>
      <c r="AB12">
        <v>75</v>
      </c>
      <c r="AC12">
        <v>88.183899999999994</v>
      </c>
      <c r="AD12" s="4" t="s">
        <v>498</v>
      </c>
      <c r="AE12" t="s">
        <v>499</v>
      </c>
      <c r="AF12" s="5">
        <v>45413</v>
      </c>
      <c r="AG12" s="5">
        <v>51501</v>
      </c>
      <c r="AH12" t="s">
        <v>409</v>
      </c>
      <c r="AI12" s="7"/>
      <c r="AK12">
        <v>3</v>
      </c>
      <c r="AL12" s="3">
        <f t="shared" si="1"/>
        <v>0.5</v>
      </c>
      <c r="AM12">
        <v>500</v>
      </c>
      <c r="AP12">
        <v>75</v>
      </c>
      <c r="AQ12" s="69">
        <v>3.0525000000000002</v>
      </c>
      <c r="AR12" s="4" t="s">
        <v>500</v>
      </c>
      <c r="AS12" t="s">
        <v>501</v>
      </c>
      <c r="AT12" s="5">
        <v>45413</v>
      </c>
      <c r="AU12" s="5">
        <v>51501</v>
      </c>
      <c r="AV12" t="s">
        <v>406</v>
      </c>
      <c r="AW12" s="7"/>
      <c r="AY12">
        <v>6</v>
      </c>
      <c r="AZ12" s="3">
        <v>0.35399999999999998</v>
      </c>
      <c r="BA12">
        <v>354</v>
      </c>
      <c r="BB12">
        <v>2124</v>
      </c>
      <c r="BC12" s="3">
        <f t="shared" si="3"/>
        <v>2.1239999999999997</v>
      </c>
      <c r="BD12">
        <v>75</v>
      </c>
      <c r="BE12">
        <v>4.3223000000000003</v>
      </c>
      <c r="BF12" s="4" t="s">
        <v>502</v>
      </c>
      <c r="BG12" t="s">
        <v>503</v>
      </c>
      <c r="BH12" s="5">
        <v>45413</v>
      </c>
      <c r="BI12" s="5">
        <v>51501</v>
      </c>
      <c r="BJ12" t="s">
        <v>403</v>
      </c>
      <c r="BK12" s="7"/>
      <c r="BR12" s="69"/>
      <c r="BS12" s="78"/>
      <c r="BT12" s="69"/>
    </row>
    <row r="13" spans="1:72" x14ac:dyDescent="0.3">
      <c r="A13">
        <v>1</v>
      </c>
      <c r="B13" s="3">
        <v>0.44</v>
      </c>
      <c r="C13">
        <v>440</v>
      </c>
      <c r="D13">
        <v>75</v>
      </c>
      <c r="E13" s="150">
        <v>0.99719999999999998</v>
      </c>
      <c r="F13" s="4" t="s">
        <v>504</v>
      </c>
      <c r="G13" t="s">
        <v>505</v>
      </c>
      <c r="H13" s="5">
        <v>45413</v>
      </c>
      <c r="I13" s="5">
        <v>51501</v>
      </c>
      <c r="J13" t="s">
        <v>403</v>
      </c>
      <c r="K13" s="7"/>
      <c r="M13">
        <v>1</v>
      </c>
      <c r="N13" s="3">
        <f t="shared" si="4"/>
        <v>0.32</v>
      </c>
      <c r="O13">
        <v>320</v>
      </c>
      <c r="P13">
        <v>75</v>
      </c>
      <c r="Q13" s="69">
        <v>0.72519999999999996</v>
      </c>
      <c r="R13" s="4" t="s">
        <v>506</v>
      </c>
      <c r="S13" t="s">
        <v>507</v>
      </c>
      <c r="T13" s="5">
        <v>45413</v>
      </c>
      <c r="U13" s="5">
        <v>51501</v>
      </c>
      <c r="V13" t="s">
        <v>406</v>
      </c>
      <c r="W13" s="7"/>
      <c r="Y13">
        <v>1</v>
      </c>
      <c r="Z13" s="3">
        <f t="shared" si="0"/>
        <v>2</v>
      </c>
      <c r="AA13">
        <v>2000</v>
      </c>
      <c r="AB13">
        <v>75</v>
      </c>
      <c r="AC13">
        <v>4.07</v>
      </c>
      <c r="AD13" s="4" t="s">
        <v>508</v>
      </c>
      <c r="AE13" t="s">
        <v>509</v>
      </c>
      <c r="AF13" s="5">
        <v>45413</v>
      </c>
      <c r="AG13" s="5">
        <v>51501</v>
      </c>
      <c r="AH13" t="s">
        <v>510</v>
      </c>
      <c r="AI13" s="7"/>
      <c r="AK13">
        <v>6</v>
      </c>
      <c r="AL13" s="3">
        <f t="shared" si="1"/>
        <v>0.25</v>
      </c>
      <c r="AM13">
        <v>250</v>
      </c>
      <c r="AP13">
        <v>75</v>
      </c>
      <c r="AQ13" s="69">
        <v>3.0525000000000002</v>
      </c>
      <c r="AR13" s="4" t="s">
        <v>511</v>
      </c>
      <c r="AS13" t="s">
        <v>512</v>
      </c>
      <c r="AT13" s="5">
        <v>45413</v>
      </c>
      <c r="AU13" s="5">
        <v>51501</v>
      </c>
      <c r="AV13" t="s">
        <v>406</v>
      </c>
      <c r="AW13" s="7"/>
      <c r="AY13">
        <v>6</v>
      </c>
      <c r="AZ13" s="3">
        <v>0.35499999999999998</v>
      </c>
      <c r="BA13">
        <v>355</v>
      </c>
      <c r="BB13">
        <v>2130</v>
      </c>
      <c r="BC13" s="3">
        <f t="shared" si="3"/>
        <v>2.13</v>
      </c>
      <c r="BD13">
        <v>75</v>
      </c>
      <c r="BE13">
        <v>4.3346</v>
      </c>
      <c r="BF13" s="4" t="s">
        <v>513</v>
      </c>
      <c r="BG13" t="s">
        <v>514</v>
      </c>
      <c r="BH13" s="5">
        <v>45413</v>
      </c>
      <c r="BI13" s="5">
        <v>51501</v>
      </c>
      <c r="BJ13" t="s">
        <v>403</v>
      </c>
      <c r="BK13" s="7"/>
      <c r="BR13" s="69"/>
      <c r="BS13" s="78"/>
      <c r="BT13" s="69"/>
    </row>
    <row r="14" spans="1:72" x14ac:dyDescent="0.3">
      <c r="A14">
        <v>1</v>
      </c>
      <c r="B14" s="3">
        <v>0.45</v>
      </c>
      <c r="C14">
        <v>450</v>
      </c>
      <c r="D14">
        <v>75</v>
      </c>
      <c r="E14" s="150">
        <v>1.0198</v>
      </c>
      <c r="F14" s="4" t="s">
        <v>515</v>
      </c>
      <c r="G14" t="s">
        <v>516</v>
      </c>
      <c r="H14" s="5">
        <v>45413</v>
      </c>
      <c r="I14" s="5">
        <v>51501</v>
      </c>
      <c r="J14" t="s">
        <v>403</v>
      </c>
      <c r="K14" s="7"/>
      <c r="M14">
        <v>1</v>
      </c>
      <c r="N14" s="3">
        <f t="shared" si="4"/>
        <v>0.32500000000000001</v>
      </c>
      <c r="O14">
        <v>325</v>
      </c>
      <c r="P14">
        <v>75</v>
      </c>
      <c r="Q14" s="69">
        <v>0.73650000000000004</v>
      </c>
      <c r="R14" s="4" t="s">
        <v>517</v>
      </c>
      <c r="S14" t="s">
        <v>518</v>
      </c>
      <c r="T14" s="5">
        <v>45413</v>
      </c>
      <c r="U14" s="5">
        <v>51501</v>
      </c>
      <c r="V14" t="s">
        <v>406</v>
      </c>
      <c r="W14" s="7"/>
      <c r="Y14">
        <v>1</v>
      </c>
      <c r="Z14" s="3">
        <v>10</v>
      </c>
      <c r="AA14">
        <v>10000</v>
      </c>
      <c r="AB14">
        <v>75</v>
      </c>
      <c r="AC14">
        <v>19.655999999999999</v>
      </c>
      <c r="AD14" t="s">
        <v>879</v>
      </c>
      <c r="AE14" t="s">
        <v>880</v>
      </c>
      <c r="AF14" s="5">
        <v>45413</v>
      </c>
      <c r="AG14" s="5">
        <v>51501</v>
      </c>
      <c r="AH14" t="s">
        <v>409</v>
      </c>
      <c r="AI14" s="7"/>
      <c r="AK14">
        <v>6</v>
      </c>
      <c r="AL14" s="3">
        <f t="shared" si="1"/>
        <v>0.27500000000000002</v>
      </c>
      <c r="AM14">
        <v>275</v>
      </c>
      <c r="AN14">
        <v>1650</v>
      </c>
      <c r="AO14" s="3">
        <f t="shared" si="2"/>
        <v>1.6500000000000001</v>
      </c>
      <c r="AP14">
        <v>75</v>
      </c>
      <c r="AQ14" s="69">
        <v>3.3578000000000001</v>
      </c>
      <c r="AR14" s="4" t="s">
        <v>519</v>
      </c>
      <c r="AS14" t="s">
        <v>520</v>
      </c>
      <c r="AT14" s="5">
        <v>45413</v>
      </c>
      <c r="AU14" s="5">
        <v>51501</v>
      </c>
      <c r="AV14" t="s">
        <v>406</v>
      </c>
      <c r="AW14" s="7"/>
      <c r="AY14">
        <v>6</v>
      </c>
      <c r="AZ14" s="3">
        <v>0.47299999999999998</v>
      </c>
      <c r="BA14">
        <v>473</v>
      </c>
      <c r="BB14">
        <v>2838</v>
      </c>
      <c r="BC14" s="3">
        <f t="shared" si="3"/>
        <v>2.8380000000000001</v>
      </c>
      <c r="BD14">
        <v>75</v>
      </c>
      <c r="BE14">
        <v>5.7752999999999997</v>
      </c>
      <c r="BF14" s="4" t="s">
        <v>521</v>
      </c>
      <c r="BG14" t="s">
        <v>522</v>
      </c>
      <c r="BH14" s="5">
        <v>45413</v>
      </c>
      <c r="BI14" s="5">
        <v>51501</v>
      </c>
      <c r="BJ14" t="s">
        <v>403</v>
      </c>
      <c r="BK14" s="7"/>
      <c r="BR14" s="69"/>
      <c r="BS14" s="78"/>
      <c r="BT14" s="69"/>
    </row>
    <row r="15" spans="1:72" x14ac:dyDescent="0.3">
      <c r="A15">
        <v>1</v>
      </c>
      <c r="B15" s="3">
        <v>0.47299999999999998</v>
      </c>
      <c r="C15">
        <v>473</v>
      </c>
      <c r="D15">
        <v>75</v>
      </c>
      <c r="E15" s="150">
        <v>1.0720000000000001</v>
      </c>
      <c r="F15" s="4" t="s">
        <v>523</v>
      </c>
      <c r="G15" t="s">
        <v>524</v>
      </c>
      <c r="H15" s="5">
        <v>45413</v>
      </c>
      <c r="I15" s="5">
        <v>51501</v>
      </c>
      <c r="J15" t="s">
        <v>403</v>
      </c>
      <c r="K15" s="7"/>
      <c r="M15">
        <v>1</v>
      </c>
      <c r="N15" s="3">
        <f t="shared" si="4"/>
        <v>0.33</v>
      </c>
      <c r="O15">
        <v>330</v>
      </c>
      <c r="P15">
        <v>75</v>
      </c>
      <c r="Q15" s="69">
        <v>0.74790000000000001</v>
      </c>
      <c r="R15" s="4" t="s">
        <v>525</v>
      </c>
      <c r="S15" t="s">
        <v>526</v>
      </c>
      <c r="T15" s="5">
        <v>45413</v>
      </c>
      <c r="U15" s="5">
        <v>51501</v>
      </c>
      <c r="V15" t="s">
        <v>406</v>
      </c>
      <c r="W15" s="7"/>
      <c r="Z15" s="3"/>
      <c r="AB15" s="3"/>
      <c r="AE15" s="4"/>
      <c r="AG15" s="5"/>
      <c r="AH15" s="5"/>
      <c r="AK15">
        <v>6</v>
      </c>
      <c r="AL15" s="3">
        <f t="shared" si="1"/>
        <v>0.33</v>
      </c>
      <c r="AM15">
        <v>330</v>
      </c>
      <c r="AN15">
        <v>1980</v>
      </c>
      <c r="AO15" s="3">
        <f t="shared" si="2"/>
        <v>1.98</v>
      </c>
      <c r="AP15">
        <v>75</v>
      </c>
      <c r="AQ15" s="69">
        <v>4.0293000000000001</v>
      </c>
      <c r="AR15" s="4" t="s">
        <v>527</v>
      </c>
      <c r="AS15" t="s">
        <v>528</v>
      </c>
      <c r="AT15" s="5">
        <v>45413</v>
      </c>
      <c r="AU15" s="5">
        <v>51501</v>
      </c>
      <c r="AV15" t="s">
        <v>406</v>
      </c>
      <c r="AW15" s="7"/>
      <c r="AY15">
        <v>10</v>
      </c>
      <c r="AZ15" s="3">
        <v>0.33</v>
      </c>
      <c r="BA15">
        <v>330</v>
      </c>
      <c r="BB15">
        <v>3300</v>
      </c>
      <c r="BC15" s="3">
        <f t="shared" si="3"/>
        <v>3.3000000000000003</v>
      </c>
      <c r="BD15">
        <v>75</v>
      </c>
      <c r="BE15">
        <v>6.4865000000000004</v>
      </c>
      <c r="BF15" s="4" t="s">
        <v>529</v>
      </c>
      <c r="BG15" t="s">
        <v>530</v>
      </c>
      <c r="BH15" s="5">
        <v>45413</v>
      </c>
      <c r="BI15" s="5">
        <v>51501</v>
      </c>
      <c r="BJ15" t="s">
        <v>403</v>
      </c>
      <c r="BK15" s="7"/>
      <c r="BR15" s="69"/>
      <c r="BS15" s="78"/>
      <c r="BT15" s="69"/>
    </row>
    <row r="16" spans="1:72" x14ac:dyDescent="0.3">
      <c r="A16">
        <v>1</v>
      </c>
      <c r="B16" s="3">
        <v>0.5</v>
      </c>
      <c r="C16">
        <v>500</v>
      </c>
      <c r="D16">
        <v>75</v>
      </c>
      <c r="E16" s="150">
        <v>1.1332</v>
      </c>
      <c r="F16" s="4" t="s">
        <v>531</v>
      </c>
      <c r="G16" t="s">
        <v>532</v>
      </c>
      <c r="H16" s="5">
        <v>45413</v>
      </c>
      <c r="I16" s="5">
        <v>51501</v>
      </c>
      <c r="J16" t="s">
        <v>403</v>
      </c>
      <c r="K16" s="7"/>
      <c r="M16">
        <v>1</v>
      </c>
      <c r="N16" s="3">
        <f t="shared" si="4"/>
        <v>0.33400000000000002</v>
      </c>
      <c r="O16">
        <v>334</v>
      </c>
      <c r="P16">
        <v>75</v>
      </c>
      <c r="Q16" s="69">
        <v>0.75690000000000002</v>
      </c>
      <c r="R16" s="4" t="s">
        <v>533</v>
      </c>
      <c r="S16" t="s">
        <v>534</v>
      </c>
      <c r="T16" s="5">
        <v>45413</v>
      </c>
      <c r="U16" s="5">
        <v>51501</v>
      </c>
      <c r="V16" t="s">
        <v>406</v>
      </c>
      <c r="W16" s="7"/>
      <c r="Z16" s="3"/>
      <c r="AB16" s="3"/>
      <c r="AE16" s="4"/>
      <c r="AG16" s="5"/>
      <c r="AH16" s="5"/>
      <c r="AK16">
        <v>4</v>
      </c>
      <c r="AL16" s="3">
        <f t="shared" si="1"/>
        <v>0.5</v>
      </c>
      <c r="AM16">
        <v>500</v>
      </c>
      <c r="AN16">
        <v>2000</v>
      </c>
      <c r="AO16" s="3">
        <f t="shared" si="2"/>
        <v>2</v>
      </c>
      <c r="AP16">
        <v>75</v>
      </c>
      <c r="AQ16" s="69">
        <v>4.07</v>
      </c>
      <c r="AR16" s="4" t="s">
        <v>535</v>
      </c>
      <c r="AS16" t="s">
        <v>536</v>
      </c>
      <c r="AT16" s="5">
        <v>45413</v>
      </c>
      <c r="AU16" s="5">
        <v>51501</v>
      </c>
      <c r="AV16" t="s">
        <v>406</v>
      </c>
      <c r="AW16" s="7"/>
      <c r="AY16">
        <v>8</v>
      </c>
      <c r="AZ16" s="3">
        <v>0.44</v>
      </c>
      <c r="BA16">
        <v>440</v>
      </c>
      <c r="BB16">
        <v>3520</v>
      </c>
      <c r="BC16" s="3">
        <f t="shared" si="3"/>
        <v>3.52</v>
      </c>
      <c r="BD16">
        <v>75</v>
      </c>
      <c r="BE16">
        <v>6.9188999999999998</v>
      </c>
      <c r="BF16" s="4" t="s">
        <v>537</v>
      </c>
      <c r="BG16" t="s">
        <v>538</v>
      </c>
      <c r="BH16" s="5">
        <v>45413</v>
      </c>
      <c r="BI16" s="5">
        <v>51501</v>
      </c>
      <c r="BJ16" t="s">
        <v>403</v>
      </c>
      <c r="BK16" s="7"/>
      <c r="BR16" s="69"/>
      <c r="BS16" s="78"/>
      <c r="BT16" s="69"/>
    </row>
    <row r="17" spans="1:72" x14ac:dyDescent="0.3">
      <c r="A17">
        <v>1</v>
      </c>
      <c r="B17" s="3">
        <v>5</v>
      </c>
      <c r="C17">
        <v>5000</v>
      </c>
      <c r="D17">
        <v>75</v>
      </c>
      <c r="E17" s="150">
        <v>9.8279999999999994</v>
      </c>
      <c r="F17" s="4" t="s">
        <v>539</v>
      </c>
      <c r="G17" t="s">
        <v>540</v>
      </c>
      <c r="H17" s="5">
        <v>45413</v>
      </c>
      <c r="I17" s="5">
        <v>51501</v>
      </c>
      <c r="J17" t="s">
        <v>403</v>
      </c>
      <c r="K17" s="7"/>
      <c r="M17">
        <v>1</v>
      </c>
      <c r="N17" s="3">
        <f t="shared" si="4"/>
        <v>0.34100000000000003</v>
      </c>
      <c r="O17">
        <v>341</v>
      </c>
      <c r="P17">
        <v>75</v>
      </c>
      <c r="Q17" s="69">
        <v>0.77280000000000004</v>
      </c>
      <c r="R17" s="4" t="s">
        <v>541</v>
      </c>
      <c r="S17" t="s">
        <v>542</v>
      </c>
      <c r="T17" s="5">
        <v>45413</v>
      </c>
      <c r="U17" s="5">
        <v>51501</v>
      </c>
      <c r="V17" t="s">
        <v>406</v>
      </c>
      <c r="W17" s="7"/>
      <c r="Z17" s="3"/>
      <c r="AB17" s="3"/>
      <c r="AE17" s="4"/>
      <c r="AG17" s="5"/>
      <c r="AH17" s="5"/>
      <c r="AK17">
        <v>6</v>
      </c>
      <c r="AL17" s="3">
        <f t="shared" si="1"/>
        <v>0.34100000000000003</v>
      </c>
      <c r="AM17">
        <v>341</v>
      </c>
      <c r="AN17">
        <v>2046</v>
      </c>
      <c r="AO17" s="3">
        <f t="shared" si="2"/>
        <v>2.0460000000000003</v>
      </c>
      <c r="AP17">
        <v>75</v>
      </c>
      <c r="AQ17" s="69">
        <v>4.1635999999999997</v>
      </c>
      <c r="AR17" s="4" t="s">
        <v>543</v>
      </c>
      <c r="AS17" t="s">
        <v>544</v>
      </c>
      <c r="AT17" s="5">
        <v>45413</v>
      </c>
      <c r="AU17" s="5">
        <v>51501</v>
      </c>
      <c r="AV17" t="s">
        <v>406</v>
      </c>
      <c r="AW17" s="7"/>
      <c r="AY17">
        <v>8</v>
      </c>
      <c r="AZ17" s="3">
        <v>0.47299999999999998</v>
      </c>
      <c r="BA17">
        <v>473</v>
      </c>
      <c r="BB17">
        <v>3784</v>
      </c>
      <c r="BC17" s="3">
        <f t="shared" si="3"/>
        <v>3.7839999999999998</v>
      </c>
      <c r="BD17">
        <v>75</v>
      </c>
      <c r="BE17">
        <v>7.4378000000000002</v>
      </c>
      <c r="BF17" s="4" t="s">
        <v>545</v>
      </c>
      <c r="BG17" t="s">
        <v>546</v>
      </c>
      <c r="BH17" s="5">
        <v>45413</v>
      </c>
      <c r="BI17" s="5">
        <v>51501</v>
      </c>
      <c r="BJ17" t="s">
        <v>403</v>
      </c>
      <c r="BK17" s="7"/>
      <c r="BR17" s="69"/>
      <c r="BS17" s="78"/>
      <c r="BT17" s="69"/>
    </row>
    <row r="18" spans="1:72" x14ac:dyDescent="0.3">
      <c r="A18">
        <v>1</v>
      </c>
      <c r="B18" s="3">
        <v>0.56799999999999995</v>
      </c>
      <c r="C18">
        <v>568</v>
      </c>
      <c r="D18">
        <v>75</v>
      </c>
      <c r="E18" s="150">
        <v>1.2873000000000001</v>
      </c>
      <c r="F18" s="4" t="s">
        <v>547</v>
      </c>
      <c r="G18" t="s">
        <v>548</v>
      </c>
      <c r="H18" s="5">
        <v>45413</v>
      </c>
      <c r="I18" s="5">
        <v>51501</v>
      </c>
      <c r="J18" t="s">
        <v>403</v>
      </c>
      <c r="K18" s="7"/>
      <c r="M18">
        <v>1</v>
      </c>
      <c r="N18" s="3">
        <f t="shared" si="4"/>
        <v>0.34499999999999997</v>
      </c>
      <c r="O18">
        <v>345</v>
      </c>
      <c r="P18">
        <v>75</v>
      </c>
      <c r="Q18" s="69">
        <v>0.78190000000000004</v>
      </c>
      <c r="R18" s="4" t="s">
        <v>549</v>
      </c>
      <c r="S18" t="s">
        <v>550</v>
      </c>
      <c r="T18" s="5">
        <v>45413</v>
      </c>
      <c r="U18" s="5">
        <v>51501</v>
      </c>
      <c r="V18" t="s">
        <v>406</v>
      </c>
      <c r="W18" s="7"/>
      <c r="Z18" s="3"/>
      <c r="AB18" s="3"/>
      <c r="AE18" s="4"/>
      <c r="AG18" s="5"/>
      <c r="AH18" s="5"/>
      <c r="AK18">
        <v>6</v>
      </c>
      <c r="AL18" s="3">
        <f t="shared" si="1"/>
        <v>0.35499999999999998</v>
      </c>
      <c r="AM18">
        <v>355</v>
      </c>
      <c r="AN18">
        <v>2130</v>
      </c>
      <c r="AO18" s="3">
        <f t="shared" si="2"/>
        <v>2.13</v>
      </c>
      <c r="AP18">
        <v>75</v>
      </c>
      <c r="AQ18" s="69">
        <v>4.3346</v>
      </c>
      <c r="AR18" s="4" t="s">
        <v>551</v>
      </c>
      <c r="AS18" t="s">
        <v>552</v>
      </c>
      <c r="AT18" s="5">
        <v>45413</v>
      </c>
      <c r="AU18" s="5">
        <v>51501</v>
      </c>
      <c r="AV18" t="s">
        <v>406</v>
      </c>
      <c r="AW18" s="7"/>
      <c r="AY18">
        <v>12</v>
      </c>
      <c r="AZ18" s="3">
        <v>0.33</v>
      </c>
      <c r="BA18">
        <v>330</v>
      </c>
      <c r="BB18">
        <v>3960</v>
      </c>
      <c r="BC18" s="3">
        <f t="shared" si="3"/>
        <v>3.96</v>
      </c>
      <c r="BD18">
        <v>75</v>
      </c>
      <c r="BE18">
        <v>7.7838000000000003</v>
      </c>
      <c r="BF18" s="4" t="s">
        <v>553</v>
      </c>
      <c r="BG18" t="s">
        <v>554</v>
      </c>
      <c r="BH18" s="5">
        <v>45413</v>
      </c>
      <c r="BI18" s="5">
        <v>51501</v>
      </c>
      <c r="BJ18" t="s">
        <v>403</v>
      </c>
      <c r="BK18" s="7"/>
      <c r="BR18" s="69"/>
      <c r="BS18" s="78"/>
      <c r="BT18" s="69"/>
    </row>
    <row r="19" spans="1:72" x14ac:dyDescent="0.3">
      <c r="A19">
        <v>1</v>
      </c>
      <c r="B19" s="3">
        <v>0.65</v>
      </c>
      <c r="C19">
        <v>650</v>
      </c>
      <c r="D19">
        <v>75</v>
      </c>
      <c r="E19" s="150">
        <v>1.4731000000000001</v>
      </c>
      <c r="F19" s="4" t="s">
        <v>555</v>
      </c>
      <c r="G19" t="s">
        <v>556</v>
      </c>
      <c r="H19" s="5">
        <v>45413</v>
      </c>
      <c r="I19" s="5">
        <v>51501</v>
      </c>
      <c r="J19" t="s">
        <v>403</v>
      </c>
      <c r="K19" s="7"/>
      <c r="M19">
        <v>1</v>
      </c>
      <c r="N19" s="3">
        <f t="shared" si="4"/>
        <v>0.35</v>
      </c>
      <c r="O19">
        <v>350</v>
      </c>
      <c r="P19">
        <v>75</v>
      </c>
      <c r="Q19" s="69">
        <v>0.79320000000000002</v>
      </c>
      <c r="R19" s="4" t="s">
        <v>557</v>
      </c>
      <c r="S19" t="s">
        <v>558</v>
      </c>
      <c r="T19" s="5">
        <v>45413</v>
      </c>
      <c r="U19" s="5">
        <v>51501</v>
      </c>
      <c r="V19" t="s">
        <v>406</v>
      </c>
      <c r="W19" s="7"/>
      <c r="Z19" s="3"/>
      <c r="AB19" s="3"/>
      <c r="AE19" s="4"/>
      <c r="AG19" s="5"/>
      <c r="AH19" s="5"/>
      <c r="AK19">
        <v>3</v>
      </c>
      <c r="AL19" s="3">
        <f t="shared" si="1"/>
        <v>0.75</v>
      </c>
      <c r="AM19">
        <v>750</v>
      </c>
      <c r="AN19">
        <v>2250</v>
      </c>
      <c r="AO19" s="3">
        <f t="shared" si="2"/>
        <v>2.25</v>
      </c>
      <c r="AP19">
        <v>75</v>
      </c>
      <c r="AQ19" s="69">
        <v>4.5788000000000002</v>
      </c>
      <c r="AR19" s="4" t="s">
        <v>559</v>
      </c>
      <c r="AS19" t="s">
        <v>560</v>
      </c>
      <c r="AT19" s="5">
        <v>45413</v>
      </c>
      <c r="AU19" s="5">
        <v>51501</v>
      </c>
      <c r="AV19" t="s">
        <v>406</v>
      </c>
      <c r="AW19" s="7"/>
      <c r="AY19">
        <v>2</v>
      </c>
      <c r="AZ19" s="3">
        <v>2</v>
      </c>
      <c r="BA19">
        <v>2000</v>
      </c>
      <c r="BC19" s="3"/>
      <c r="BD19">
        <v>75</v>
      </c>
      <c r="BE19">
        <v>4.07</v>
      </c>
      <c r="BF19" s="4" t="s">
        <v>561</v>
      </c>
      <c r="BG19" t="s">
        <v>562</v>
      </c>
      <c r="BH19" s="5">
        <v>45413</v>
      </c>
      <c r="BI19" s="5">
        <v>51501</v>
      </c>
      <c r="BJ19" t="s">
        <v>403</v>
      </c>
      <c r="BK19" s="7"/>
      <c r="BR19" s="69"/>
      <c r="BS19" s="78"/>
      <c r="BT19" s="69"/>
    </row>
    <row r="20" spans="1:72" x14ac:dyDescent="0.3">
      <c r="A20">
        <v>1</v>
      </c>
      <c r="B20" s="3">
        <v>0.71</v>
      </c>
      <c r="C20">
        <v>710</v>
      </c>
      <c r="D20">
        <v>75</v>
      </c>
      <c r="E20" s="150">
        <v>1.6091</v>
      </c>
      <c r="F20" s="4" t="s">
        <v>563</v>
      </c>
      <c r="G20" t="s">
        <v>564</v>
      </c>
      <c r="H20" s="5">
        <v>45413</v>
      </c>
      <c r="I20" s="5">
        <v>51501</v>
      </c>
      <c r="J20" t="s">
        <v>403</v>
      </c>
      <c r="K20" s="7"/>
      <c r="M20">
        <v>1</v>
      </c>
      <c r="N20" s="3">
        <f t="shared" si="4"/>
        <v>0.35399999999999998</v>
      </c>
      <c r="O20">
        <v>354</v>
      </c>
      <c r="P20">
        <v>75</v>
      </c>
      <c r="Q20" s="69">
        <v>0.80230000000000001</v>
      </c>
      <c r="R20" s="4" t="s">
        <v>565</v>
      </c>
      <c r="S20" t="s">
        <v>566</v>
      </c>
      <c r="T20" s="5">
        <v>45413</v>
      </c>
      <c r="U20" s="5">
        <v>51501</v>
      </c>
      <c r="V20" t="s">
        <v>406</v>
      </c>
      <c r="W20" s="7"/>
      <c r="Z20" s="3"/>
      <c r="AB20" s="3"/>
      <c r="AE20" s="4"/>
      <c r="AG20" s="5"/>
      <c r="AH20" s="5"/>
      <c r="AK20">
        <v>6</v>
      </c>
      <c r="AL20" s="3">
        <f t="shared" si="1"/>
        <v>0.375</v>
      </c>
      <c r="AM20">
        <v>375</v>
      </c>
      <c r="AP20">
        <v>75</v>
      </c>
      <c r="AQ20" s="69">
        <v>4.5788000000000002</v>
      </c>
      <c r="AR20" s="4" t="s">
        <v>567</v>
      </c>
      <c r="AS20" t="s">
        <v>568</v>
      </c>
      <c r="AT20" s="5">
        <v>45413</v>
      </c>
      <c r="AU20" s="5">
        <v>51501</v>
      </c>
      <c r="AV20" t="s">
        <v>406</v>
      </c>
      <c r="AW20" s="7"/>
      <c r="AY20">
        <v>8</v>
      </c>
      <c r="AZ20" s="3">
        <v>0.5</v>
      </c>
      <c r="BA20">
        <v>500</v>
      </c>
      <c r="BB20">
        <v>4000</v>
      </c>
      <c r="BC20" s="3">
        <f t="shared" si="3"/>
        <v>4</v>
      </c>
      <c r="BD20">
        <v>75</v>
      </c>
      <c r="BE20">
        <v>7.8624000000000001</v>
      </c>
      <c r="BF20" s="4" t="s">
        <v>569</v>
      </c>
      <c r="BG20" t="s">
        <v>570</v>
      </c>
      <c r="BH20" s="5">
        <v>45413</v>
      </c>
      <c r="BI20" s="5">
        <v>51501</v>
      </c>
      <c r="BJ20" t="s">
        <v>403</v>
      </c>
      <c r="BK20" s="7"/>
      <c r="BR20" s="69"/>
      <c r="BS20" s="78"/>
      <c r="BT20" s="69"/>
    </row>
    <row r="21" spans="1:72" x14ac:dyDescent="0.3">
      <c r="A21">
        <v>1</v>
      </c>
      <c r="B21" s="3">
        <v>0.74</v>
      </c>
      <c r="C21">
        <v>740</v>
      </c>
      <c r="D21">
        <v>75</v>
      </c>
      <c r="E21" s="150">
        <v>1.6771</v>
      </c>
      <c r="F21" s="4" t="s">
        <v>571</v>
      </c>
      <c r="G21" t="s">
        <v>572</v>
      </c>
      <c r="H21" s="5">
        <v>45413</v>
      </c>
      <c r="I21" s="5">
        <v>51501</v>
      </c>
      <c r="J21" t="s">
        <v>403</v>
      </c>
      <c r="K21" s="7"/>
      <c r="M21">
        <v>1</v>
      </c>
      <c r="N21" s="3">
        <f t="shared" si="4"/>
        <v>0.35499999999999998</v>
      </c>
      <c r="O21">
        <v>355</v>
      </c>
      <c r="P21">
        <v>75</v>
      </c>
      <c r="Q21" s="69">
        <v>0.80449999999999999</v>
      </c>
      <c r="R21" s="4" t="s">
        <v>573</v>
      </c>
      <c r="S21" t="s">
        <v>574</v>
      </c>
      <c r="T21" s="5">
        <v>45413</v>
      </c>
      <c r="U21" s="5">
        <v>51501</v>
      </c>
      <c r="V21" t="s">
        <v>406</v>
      </c>
      <c r="W21" s="7"/>
      <c r="Z21" s="3"/>
      <c r="AB21" s="3"/>
      <c r="AE21" s="4"/>
      <c r="AG21" s="5"/>
      <c r="AH21" s="5"/>
      <c r="AK21">
        <v>4</v>
      </c>
      <c r="AL21" s="3">
        <f t="shared" si="1"/>
        <v>0.6</v>
      </c>
      <c r="AM21">
        <v>600</v>
      </c>
      <c r="AN21">
        <v>2400</v>
      </c>
      <c r="AO21" s="3">
        <f t="shared" si="2"/>
        <v>2.4</v>
      </c>
      <c r="AP21">
        <v>75</v>
      </c>
      <c r="AQ21" s="69">
        <v>4.8840000000000003</v>
      </c>
      <c r="AR21" s="4" t="s">
        <v>575</v>
      </c>
      <c r="AS21" t="s">
        <v>576</v>
      </c>
      <c r="AT21" s="5">
        <v>45413</v>
      </c>
      <c r="AU21" s="5">
        <v>51501</v>
      </c>
      <c r="AV21" t="s">
        <v>406</v>
      </c>
      <c r="AW21" s="7"/>
      <c r="AY21">
        <v>12</v>
      </c>
      <c r="AZ21" s="3">
        <v>0.34</v>
      </c>
      <c r="BA21">
        <v>340</v>
      </c>
      <c r="BB21">
        <v>4080</v>
      </c>
      <c r="BC21" s="3">
        <f t="shared" si="3"/>
        <v>4.08</v>
      </c>
      <c r="BD21">
        <v>75</v>
      </c>
      <c r="BE21">
        <v>8.0196000000000005</v>
      </c>
      <c r="BF21" s="4" t="s">
        <v>577</v>
      </c>
      <c r="BG21" t="s">
        <v>578</v>
      </c>
      <c r="BH21" s="5">
        <v>45413</v>
      </c>
      <c r="BI21" s="5">
        <v>51501</v>
      </c>
      <c r="BJ21" t="s">
        <v>403</v>
      </c>
      <c r="BK21" s="7"/>
      <c r="BR21" s="69"/>
      <c r="BS21" s="78"/>
      <c r="BT21" s="69"/>
    </row>
    <row r="22" spans="1:72" x14ac:dyDescent="0.3">
      <c r="A22">
        <v>1</v>
      </c>
      <c r="B22" s="3">
        <v>0.40400000000000003</v>
      </c>
      <c r="C22">
        <v>404</v>
      </c>
      <c r="D22">
        <v>75</v>
      </c>
      <c r="E22" s="150">
        <v>0.91559999999999997</v>
      </c>
      <c r="F22" t="s">
        <v>873</v>
      </c>
      <c r="G22" t="s">
        <v>874</v>
      </c>
      <c r="H22" s="5">
        <v>45413</v>
      </c>
      <c r="I22" s="5">
        <v>51501</v>
      </c>
      <c r="J22" t="s">
        <v>403</v>
      </c>
      <c r="K22" s="7"/>
      <c r="M22">
        <v>1</v>
      </c>
      <c r="N22" s="3">
        <f t="shared" si="4"/>
        <v>0.375</v>
      </c>
      <c r="O22">
        <v>375</v>
      </c>
      <c r="P22">
        <v>75</v>
      </c>
      <c r="Q22" s="69">
        <v>0.84989999999999999</v>
      </c>
      <c r="R22" s="4" t="s">
        <v>579</v>
      </c>
      <c r="S22" t="s">
        <v>580</v>
      </c>
      <c r="T22" s="5">
        <v>45413</v>
      </c>
      <c r="U22" s="5">
        <v>51501</v>
      </c>
      <c r="V22" t="s">
        <v>406</v>
      </c>
      <c r="W22" s="7"/>
      <c r="Z22" s="3"/>
      <c r="AB22" s="3"/>
      <c r="AE22" s="4"/>
      <c r="AG22" s="5"/>
      <c r="AH22" s="5"/>
      <c r="AK22">
        <v>5</v>
      </c>
      <c r="AL22" s="3">
        <f t="shared" si="1"/>
        <v>0.5</v>
      </c>
      <c r="AM22">
        <v>500</v>
      </c>
      <c r="AN22">
        <v>2500</v>
      </c>
      <c r="AO22" s="3">
        <f t="shared" si="2"/>
        <v>2.5</v>
      </c>
      <c r="AP22">
        <v>75</v>
      </c>
      <c r="AQ22" s="69">
        <v>5.0875000000000004</v>
      </c>
      <c r="AR22" s="4" t="s">
        <v>581</v>
      </c>
      <c r="AS22" t="s">
        <v>582</v>
      </c>
      <c r="AT22" s="5">
        <v>45413</v>
      </c>
      <c r="AU22" s="5">
        <v>51501</v>
      </c>
      <c r="AV22" t="s">
        <v>406</v>
      </c>
      <c r="AW22" s="7"/>
      <c r="AY22">
        <v>12</v>
      </c>
      <c r="AZ22" s="3">
        <v>0.34100000000000003</v>
      </c>
      <c r="BA22">
        <v>341</v>
      </c>
      <c r="BB22">
        <v>4092</v>
      </c>
      <c r="BC22" s="3">
        <f t="shared" si="3"/>
        <v>4.0920000000000005</v>
      </c>
      <c r="BD22">
        <v>75</v>
      </c>
      <c r="BE22">
        <v>8.0432000000000006</v>
      </c>
      <c r="BF22" s="4" t="s">
        <v>583</v>
      </c>
      <c r="BG22" t="s">
        <v>584</v>
      </c>
      <c r="BH22" s="5">
        <v>45413</v>
      </c>
      <c r="BI22" s="5">
        <v>51501</v>
      </c>
      <c r="BJ22" t="s">
        <v>403</v>
      </c>
      <c r="BK22" s="7"/>
      <c r="BR22" s="69"/>
      <c r="BS22" s="78"/>
      <c r="BT22" s="69"/>
    </row>
    <row r="23" spans="1:72" x14ac:dyDescent="0.3">
      <c r="B23" s="3"/>
      <c r="F23" s="4"/>
      <c r="H23" s="5"/>
      <c r="I23" s="5"/>
      <c r="M23">
        <v>1</v>
      </c>
      <c r="N23" s="3">
        <f t="shared" si="4"/>
        <v>0.44</v>
      </c>
      <c r="O23">
        <v>440</v>
      </c>
      <c r="P23">
        <v>75</v>
      </c>
      <c r="Q23" s="69">
        <v>0.99719999999999998</v>
      </c>
      <c r="R23" s="4" t="s">
        <v>585</v>
      </c>
      <c r="S23" t="s">
        <v>586</v>
      </c>
      <c r="T23" s="5">
        <v>45413</v>
      </c>
      <c r="U23" s="5">
        <v>51501</v>
      </c>
      <c r="V23" t="s">
        <v>406</v>
      </c>
      <c r="W23" s="7"/>
      <c r="Z23" s="3"/>
      <c r="AB23" s="3"/>
      <c r="AE23" s="4"/>
      <c r="AG23" s="5"/>
      <c r="AH23" s="5"/>
      <c r="AK23">
        <v>8</v>
      </c>
      <c r="AL23" s="3">
        <f t="shared" si="1"/>
        <v>0.33</v>
      </c>
      <c r="AM23">
        <v>330</v>
      </c>
      <c r="AN23">
        <v>2640</v>
      </c>
      <c r="AO23" s="3">
        <f t="shared" si="2"/>
        <v>2.64</v>
      </c>
      <c r="AP23">
        <v>75</v>
      </c>
      <c r="AQ23" s="69">
        <v>5.3723999999999998</v>
      </c>
      <c r="AR23" s="4" t="s">
        <v>587</v>
      </c>
      <c r="AS23" t="s">
        <v>588</v>
      </c>
      <c r="AT23" s="5">
        <v>45413</v>
      </c>
      <c r="AU23" s="5">
        <v>51501</v>
      </c>
      <c r="AV23" t="s">
        <v>406</v>
      </c>
      <c r="AW23" s="7"/>
      <c r="AY23">
        <v>9</v>
      </c>
      <c r="AZ23" s="3">
        <v>0.47299999999999998</v>
      </c>
      <c r="BA23">
        <v>473</v>
      </c>
      <c r="BB23">
        <v>4257</v>
      </c>
      <c r="BC23" s="3">
        <f t="shared" si="3"/>
        <v>4.2569999999999997</v>
      </c>
      <c r="BD23">
        <v>75</v>
      </c>
      <c r="BE23">
        <v>8.3675999999999995</v>
      </c>
      <c r="BF23" s="4" t="s">
        <v>589</v>
      </c>
      <c r="BG23" t="s">
        <v>590</v>
      </c>
      <c r="BH23" s="5">
        <v>45413</v>
      </c>
      <c r="BI23" s="5">
        <v>51501</v>
      </c>
      <c r="BJ23" t="s">
        <v>403</v>
      </c>
      <c r="BK23" s="7"/>
      <c r="BR23" s="69"/>
      <c r="BS23" s="78"/>
      <c r="BT23" s="69"/>
    </row>
    <row r="24" spans="1:72" x14ac:dyDescent="0.3">
      <c r="B24" s="3"/>
      <c r="F24" s="4"/>
      <c r="H24" s="5"/>
      <c r="I24" s="5"/>
      <c r="M24">
        <v>1</v>
      </c>
      <c r="N24" s="3">
        <f t="shared" si="4"/>
        <v>0.45</v>
      </c>
      <c r="O24">
        <v>450</v>
      </c>
      <c r="P24">
        <v>75</v>
      </c>
      <c r="Q24" s="69">
        <v>1.0198</v>
      </c>
      <c r="R24" s="4" t="s">
        <v>591</v>
      </c>
      <c r="S24" t="s">
        <v>592</v>
      </c>
      <c r="T24" s="5">
        <v>45413</v>
      </c>
      <c r="U24" s="5">
        <v>51501</v>
      </c>
      <c r="V24" t="s">
        <v>406</v>
      </c>
      <c r="W24" s="7"/>
      <c r="Z24" s="3"/>
      <c r="AB24" s="3"/>
      <c r="AE24" s="4"/>
      <c r="AG24" s="5"/>
      <c r="AH24" s="5"/>
      <c r="AK24">
        <v>6</v>
      </c>
      <c r="AL24" s="3">
        <f t="shared" si="1"/>
        <v>0.5</v>
      </c>
      <c r="AM24">
        <v>500</v>
      </c>
      <c r="AN24">
        <v>3000</v>
      </c>
      <c r="AO24" s="3">
        <f t="shared" si="2"/>
        <v>3</v>
      </c>
      <c r="AP24">
        <v>75</v>
      </c>
      <c r="AQ24" s="69">
        <v>6.1050000000000004</v>
      </c>
      <c r="AR24" s="4" t="s">
        <v>593</v>
      </c>
      <c r="AS24" t="s">
        <v>594</v>
      </c>
      <c r="AT24" s="5">
        <v>45413</v>
      </c>
      <c r="AU24" s="5">
        <v>51501</v>
      </c>
      <c r="AV24" t="s">
        <v>406</v>
      </c>
      <c r="AW24" s="7"/>
      <c r="AY24">
        <v>12</v>
      </c>
      <c r="AZ24" s="3">
        <v>0.35499999999999998</v>
      </c>
      <c r="BA24">
        <v>355</v>
      </c>
      <c r="BB24">
        <v>4260</v>
      </c>
      <c r="BC24" s="3">
        <f t="shared" si="3"/>
        <v>4.26</v>
      </c>
      <c r="BD24">
        <v>75</v>
      </c>
      <c r="BE24">
        <v>8.3734999999999999</v>
      </c>
      <c r="BF24" s="4" t="s">
        <v>595</v>
      </c>
      <c r="BG24" t="s">
        <v>596</v>
      </c>
      <c r="BH24" s="5">
        <v>45413</v>
      </c>
      <c r="BI24" s="5">
        <v>51501</v>
      </c>
      <c r="BJ24" t="s">
        <v>403</v>
      </c>
      <c r="BK24" s="7"/>
      <c r="BR24" s="69"/>
      <c r="BS24" s="78"/>
      <c r="BT24" s="69"/>
    </row>
    <row r="25" spans="1:72" x14ac:dyDescent="0.3">
      <c r="B25" s="3"/>
      <c r="F25" s="4"/>
      <c r="H25" s="5"/>
      <c r="I25" s="5"/>
      <c r="M25">
        <v>1</v>
      </c>
      <c r="N25" s="3">
        <f t="shared" si="4"/>
        <v>0.47299999999999998</v>
      </c>
      <c r="O25">
        <v>473</v>
      </c>
      <c r="P25">
        <v>75</v>
      </c>
      <c r="Q25" s="69">
        <v>1.0720000000000001</v>
      </c>
      <c r="R25" s="4" t="s">
        <v>597</v>
      </c>
      <c r="S25" t="s">
        <v>598</v>
      </c>
      <c r="T25" s="5">
        <v>45413</v>
      </c>
      <c r="U25" s="5">
        <v>51501</v>
      </c>
      <c r="V25" t="s">
        <v>406</v>
      </c>
      <c r="W25" s="7"/>
      <c r="Z25" s="3"/>
      <c r="AB25" s="3"/>
      <c r="AE25" s="4"/>
      <c r="AG25" s="5"/>
      <c r="AH25" s="5"/>
      <c r="AK25">
        <v>12</v>
      </c>
      <c r="AL25" s="3">
        <f t="shared" si="1"/>
        <v>0.33</v>
      </c>
      <c r="AM25">
        <v>330</v>
      </c>
      <c r="AN25">
        <v>3960</v>
      </c>
      <c r="AO25" s="3">
        <f t="shared" si="2"/>
        <v>3.96</v>
      </c>
      <c r="AP25">
        <v>75</v>
      </c>
      <c r="AQ25" s="69">
        <v>7.7838000000000003</v>
      </c>
      <c r="AR25" s="4" t="s">
        <v>599</v>
      </c>
      <c r="AS25" t="s">
        <v>600</v>
      </c>
      <c r="AT25" s="5">
        <v>45413</v>
      </c>
      <c r="AU25" s="5">
        <v>51501</v>
      </c>
      <c r="AV25" t="s">
        <v>406</v>
      </c>
      <c r="AW25" s="7"/>
      <c r="AY25">
        <v>15</v>
      </c>
      <c r="AZ25" s="3">
        <v>0.35499999999999998</v>
      </c>
      <c r="BA25">
        <v>355</v>
      </c>
      <c r="BB25">
        <v>5325</v>
      </c>
      <c r="BC25" s="3">
        <f t="shared" si="3"/>
        <v>5.3249999999999993</v>
      </c>
      <c r="BD25">
        <v>75</v>
      </c>
      <c r="BE25">
        <v>10.466799999999999</v>
      </c>
      <c r="BF25" s="4" t="s">
        <v>601</v>
      </c>
      <c r="BG25" t="s">
        <v>602</v>
      </c>
      <c r="BH25" s="5">
        <v>45413</v>
      </c>
      <c r="BI25" s="5">
        <v>51501</v>
      </c>
      <c r="BJ25" t="s">
        <v>403</v>
      </c>
      <c r="BK25" s="7"/>
      <c r="BR25" s="69"/>
      <c r="BS25" s="78"/>
      <c r="BT25" s="69"/>
    </row>
    <row r="26" spans="1:72" x14ac:dyDescent="0.3">
      <c r="B26" s="3"/>
      <c r="F26" s="4"/>
      <c r="H26" s="5"/>
      <c r="I26" s="5"/>
      <c r="M26">
        <v>1</v>
      </c>
      <c r="N26" s="3">
        <f t="shared" si="4"/>
        <v>0.5</v>
      </c>
      <c r="O26">
        <v>500</v>
      </c>
      <c r="P26">
        <v>75</v>
      </c>
      <c r="Q26" s="69">
        <v>1.1332</v>
      </c>
      <c r="R26" s="4" t="s">
        <v>603</v>
      </c>
      <c r="S26" t="s">
        <v>604</v>
      </c>
      <c r="T26" s="5">
        <v>45413</v>
      </c>
      <c r="U26" s="5">
        <v>51501</v>
      </c>
      <c r="V26" t="s">
        <v>406</v>
      </c>
      <c r="W26" s="7"/>
      <c r="Z26" s="3"/>
      <c r="AB26" s="3"/>
      <c r="AE26" s="4"/>
      <c r="AG26" s="5"/>
      <c r="AH26" s="5"/>
      <c r="AK26">
        <v>12</v>
      </c>
      <c r="AL26" s="3">
        <f t="shared" si="1"/>
        <v>0.34100000000000003</v>
      </c>
      <c r="AM26">
        <v>341</v>
      </c>
      <c r="AN26">
        <v>4092</v>
      </c>
      <c r="AO26" s="3">
        <f t="shared" si="2"/>
        <v>4.0920000000000005</v>
      </c>
      <c r="AP26">
        <v>75</v>
      </c>
      <c r="AQ26" s="69">
        <v>8.0432000000000006</v>
      </c>
      <c r="AR26" s="4" t="s">
        <v>605</v>
      </c>
      <c r="AS26" t="s">
        <v>606</v>
      </c>
      <c r="AT26" s="5">
        <v>45413</v>
      </c>
      <c r="AU26" s="5">
        <v>51501</v>
      </c>
      <c r="AV26" t="s">
        <v>406</v>
      </c>
      <c r="AW26" s="7"/>
      <c r="AY26">
        <v>24</v>
      </c>
      <c r="AZ26" s="3">
        <v>0.33</v>
      </c>
      <c r="BA26">
        <v>330</v>
      </c>
      <c r="BB26">
        <v>7920</v>
      </c>
      <c r="BC26" s="3">
        <f t="shared" si="3"/>
        <v>7.92</v>
      </c>
      <c r="BD26">
        <v>75</v>
      </c>
      <c r="BE26">
        <v>15.567600000000001</v>
      </c>
      <c r="BF26" s="4" t="s">
        <v>607</v>
      </c>
      <c r="BG26" t="s">
        <v>608</v>
      </c>
      <c r="BH26" s="5">
        <v>45413</v>
      </c>
      <c r="BI26" s="5">
        <v>51501</v>
      </c>
      <c r="BJ26" t="s">
        <v>403</v>
      </c>
      <c r="BK26" s="7"/>
      <c r="BR26" s="69"/>
      <c r="BS26" s="78"/>
      <c r="BT26" s="69"/>
    </row>
    <row r="27" spans="1:72" x14ac:dyDescent="0.3">
      <c r="B27" s="3"/>
      <c r="F27" s="4"/>
      <c r="H27" s="5"/>
      <c r="I27" s="5"/>
      <c r="M27">
        <v>1</v>
      </c>
      <c r="N27" s="3">
        <f t="shared" si="4"/>
        <v>0.55000000000000004</v>
      </c>
      <c r="O27">
        <v>550</v>
      </c>
      <c r="P27">
        <v>75</v>
      </c>
      <c r="Q27" s="69">
        <v>1.2464999999999999</v>
      </c>
      <c r="R27" s="4" t="s">
        <v>609</v>
      </c>
      <c r="S27" t="s">
        <v>610</v>
      </c>
      <c r="T27" s="5">
        <v>45413</v>
      </c>
      <c r="U27" s="5">
        <v>51501</v>
      </c>
      <c r="V27" t="s">
        <v>406</v>
      </c>
      <c r="W27" s="7"/>
      <c r="Z27" s="3"/>
      <c r="AB27" s="3"/>
      <c r="AE27" s="4"/>
      <c r="AG27" s="5"/>
      <c r="AH27" s="5"/>
      <c r="AK27">
        <v>12</v>
      </c>
      <c r="AL27" s="3">
        <f t="shared" si="1"/>
        <v>0.35499999999999998</v>
      </c>
      <c r="AM27">
        <v>355</v>
      </c>
      <c r="AN27">
        <v>4260</v>
      </c>
      <c r="AO27" s="3">
        <f t="shared" si="2"/>
        <v>4.26</v>
      </c>
      <c r="AP27">
        <v>75</v>
      </c>
      <c r="AQ27" s="69">
        <v>8.3734999999999999</v>
      </c>
      <c r="AR27" s="4" t="s">
        <v>611</v>
      </c>
      <c r="AS27" t="s">
        <v>612</v>
      </c>
      <c r="AT27" s="5">
        <v>45413</v>
      </c>
      <c r="AU27" s="5">
        <v>51501</v>
      </c>
      <c r="AV27" t="s">
        <v>406</v>
      </c>
      <c r="AW27" s="7"/>
      <c r="AY27">
        <v>24</v>
      </c>
      <c r="AZ27" s="3">
        <v>0.35499999999999998</v>
      </c>
      <c r="BA27">
        <v>355</v>
      </c>
      <c r="BB27">
        <v>8520</v>
      </c>
      <c r="BC27" s="3">
        <f t="shared" si="3"/>
        <v>8.52</v>
      </c>
      <c r="BD27">
        <v>75</v>
      </c>
      <c r="BE27">
        <v>16.7469</v>
      </c>
      <c r="BF27" s="4" t="s">
        <v>613</v>
      </c>
      <c r="BG27" t="s">
        <v>614</v>
      </c>
      <c r="BH27" s="5">
        <v>45413</v>
      </c>
      <c r="BI27" s="5">
        <v>51501</v>
      </c>
      <c r="BJ27" t="s">
        <v>403</v>
      </c>
      <c r="BK27" s="7"/>
      <c r="BR27" s="69"/>
      <c r="BS27" s="78"/>
      <c r="BT27" s="69"/>
    </row>
    <row r="28" spans="1:72" x14ac:dyDescent="0.3">
      <c r="B28" s="3"/>
      <c r="F28" s="4"/>
      <c r="H28" s="5"/>
      <c r="I28" s="5"/>
      <c r="M28">
        <v>1</v>
      </c>
      <c r="N28" s="3">
        <f t="shared" si="4"/>
        <v>0.56799999999999995</v>
      </c>
      <c r="O28">
        <v>568</v>
      </c>
      <c r="P28">
        <v>75</v>
      </c>
      <c r="Q28" s="69">
        <v>1.2873000000000001</v>
      </c>
      <c r="R28" s="4" t="s">
        <v>615</v>
      </c>
      <c r="S28" t="s">
        <v>616</v>
      </c>
      <c r="T28" s="5">
        <v>45413</v>
      </c>
      <c r="U28" s="5">
        <v>51501</v>
      </c>
      <c r="V28" t="s">
        <v>406</v>
      </c>
      <c r="W28" s="7"/>
      <c r="Z28" s="3"/>
      <c r="AB28" s="3"/>
      <c r="AE28" s="4"/>
      <c r="AG28" s="5"/>
      <c r="AH28" s="5"/>
      <c r="AK28">
        <v>18</v>
      </c>
      <c r="AL28" s="3">
        <f t="shared" si="1"/>
        <v>0.33</v>
      </c>
      <c r="AM28">
        <v>330</v>
      </c>
      <c r="AN28">
        <v>5940</v>
      </c>
      <c r="AO28" s="3">
        <f t="shared" si="2"/>
        <v>5.94</v>
      </c>
      <c r="AP28">
        <v>75</v>
      </c>
      <c r="AQ28" s="69">
        <v>11.675700000000001</v>
      </c>
      <c r="AR28" s="4" t="s">
        <v>617</v>
      </c>
      <c r="AS28" t="s">
        <v>618</v>
      </c>
      <c r="AT28" s="5">
        <v>45413</v>
      </c>
      <c r="AU28" s="5">
        <v>51501</v>
      </c>
      <c r="AV28" t="s">
        <v>406</v>
      </c>
      <c r="AW28" s="7"/>
      <c r="AY28">
        <v>30</v>
      </c>
      <c r="AZ28" s="3">
        <v>0.29599999999999999</v>
      </c>
      <c r="BA28">
        <v>296</v>
      </c>
      <c r="BB28">
        <v>8880</v>
      </c>
      <c r="BC28" s="3">
        <f t="shared" si="3"/>
        <v>8.879999999999999</v>
      </c>
      <c r="BD28">
        <v>75</v>
      </c>
      <c r="BE28">
        <v>17.454499999999999</v>
      </c>
      <c r="BF28" s="4" t="s">
        <v>619</v>
      </c>
      <c r="BG28" t="s">
        <v>620</v>
      </c>
      <c r="BH28" s="5">
        <v>45413</v>
      </c>
      <c r="BI28" s="5">
        <v>51501</v>
      </c>
      <c r="BJ28" t="s">
        <v>403</v>
      </c>
      <c r="BK28" s="7"/>
      <c r="BR28" s="69"/>
      <c r="BS28" s="78"/>
      <c r="BT28" s="69"/>
    </row>
    <row r="29" spans="1:72" x14ac:dyDescent="0.3">
      <c r="B29" s="3"/>
      <c r="F29" s="4"/>
      <c r="H29" s="5"/>
      <c r="I29" s="5"/>
      <c r="M29">
        <v>1</v>
      </c>
      <c r="N29" s="3">
        <f t="shared" si="4"/>
        <v>0.6</v>
      </c>
      <c r="O29">
        <v>600</v>
      </c>
      <c r="P29">
        <v>75</v>
      </c>
      <c r="Q29" s="69">
        <v>1.3597999999999999</v>
      </c>
      <c r="R29" s="4" t="s">
        <v>621</v>
      </c>
      <c r="S29" t="s">
        <v>622</v>
      </c>
      <c r="T29" s="5">
        <v>45413</v>
      </c>
      <c r="U29" s="5">
        <v>51501</v>
      </c>
      <c r="V29" t="s">
        <v>406</v>
      </c>
      <c r="W29" s="7"/>
      <c r="Z29" s="3"/>
      <c r="AB29" s="3"/>
      <c r="AE29" s="4"/>
      <c r="AG29" s="5"/>
      <c r="AH29" s="5"/>
      <c r="AK29">
        <v>12</v>
      </c>
      <c r="AL29" s="3">
        <f t="shared" si="1"/>
        <v>0.5</v>
      </c>
      <c r="AM29">
        <v>500</v>
      </c>
      <c r="AN29">
        <v>6000</v>
      </c>
      <c r="AO29" s="3">
        <f t="shared" si="2"/>
        <v>6</v>
      </c>
      <c r="AP29">
        <v>75</v>
      </c>
      <c r="AQ29" s="69">
        <v>11.7936</v>
      </c>
      <c r="AR29" s="4" t="s">
        <v>623</v>
      </c>
      <c r="AS29" t="s">
        <v>624</v>
      </c>
      <c r="AT29" s="5">
        <v>45413</v>
      </c>
      <c r="AU29" s="5">
        <v>51501</v>
      </c>
      <c r="AV29" t="s">
        <v>406</v>
      </c>
      <c r="AW29" s="7"/>
      <c r="AY29">
        <v>24</v>
      </c>
      <c r="AZ29" s="3">
        <v>0.47299999999999998</v>
      </c>
      <c r="BA29">
        <v>473</v>
      </c>
      <c r="BB29">
        <v>11352</v>
      </c>
      <c r="BC29" s="3">
        <f t="shared" si="3"/>
        <v>11.352</v>
      </c>
      <c r="BD29">
        <v>75</v>
      </c>
      <c r="BE29">
        <v>22.313500000000001</v>
      </c>
      <c r="BF29" s="4" t="s">
        <v>625</v>
      </c>
      <c r="BG29" t="s">
        <v>626</v>
      </c>
      <c r="BH29" s="5">
        <v>45413</v>
      </c>
      <c r="BI29" s="5">
        <v>51501</v>
      </c>
      <c r="BJ29" t="s">
        <v>403</v>
      </c>
      <c r="BK29" s="7"/>
      <c r="BR29" s="69"/>
      <c r="BS29" s="78"/>
      <c r="BT29" s="69"/>
    </row>
    <row r="30" spans="1:72" x14ac:dyDescent="0.3">
      <c r="B30" s="3"/>
      <c r="F30" s="4"/>
      <c r="H30" s="5"/>
      <c r="I30" s="5"/>
      <c r="M30">
        <v>1</v>
      </c>
      <c r="N30" s="3">
        <f t="shared" si="4"/>
        <v>0.625</v>
      </c>
      <c r="O30">
        <v>625</v>
      </c>
      <c r="P30">
        <v>75</v>
      </c>
      <c r="Q30" s="69">
        <v>1.4164000000000001</v>
      </c>
      <c r="R30" s="4" t="s">
        <v>627</v>
      </c>
      <c r="S30" t="s">
        <v>628</v>
      </c>
      <c r="T30" s="5">
        <v>45413</v>
      </c>
      <c r="U30" s="5">
        <v>51501</v>
      </c>
      <c r="V30" t="s">
        <v>406</v>
      </c>
      <c r="W30" s="7"/>
      <c r="AK30">
        <v>20</v>
      </c>
      <c r="AL30" s="3">
        <f t="shared" si="1"/>
        <v>0.33</v>
      </c>
      <c r="AM30">
        <v>330</v>
      </c>
      <c r="AN30">
        <v>6600</v>
      </c>
      <c r="AO30" s="3">
        <f t="shared" si="2"/>
        <v>6.6000000000000005</v>
      </c>
      <c r="AP30">
        <v>75</v>
      </c>
      <c r="AQ30" s="69">
        <v>12.973000000000001</v>
      </c>
      <c r="AR30" s="4" t="s">
        <v>629</v>
      </c>
      <c r="AS30" t="s">
        <v>630</v>
      </c>
      <c r="AT30" s="5">
        <v>45413</v>
      </c>
      <c r="AU30" s="5">
        <v>51501</v>
      </c>
      <c r="AV30" t="s">
        <v>406</v>
      </c>
      <c r="AW30" s="7"/>
      <c r="AY30">
        <v>36</v>
      </c>
      <c r="AZ30" s="3">
        <v>0.35499999999999998</v>
      </c>
      <c r="BA30">
        <v>355</v>
      </c>
      <c r="BB30">
        <v>12780</v>
      </c>
      <c r="BC30" s="3">
        <f t="shared" si="3"/>
        <v>12.78</v>
      </c>
      <c r="BD30">
        <v>75</v>
      </c>
      <c r="BE30">
        <v>25.1204</v>
      </c>
      <c r="BF30" s="4" t="s">
        <v>631</v>
      </c>
      <c r="BG30" t="s">
        <v>632</v>
      </c>
      <c r="BH30" s="5">
        <v>45413</v>
      </c>
      <c r="BI30" s="5">
        <v>51501</v>
      </c>
      <c r="BJ30" t="s">
        <v>403</v>
      </c>
      <c r="BK30" s="7"/>
      <c r="BR30" s="69"/>
      <c r="BS30" s="78"/>
      <c r="BT30" s="69"/>
    </row>
    <row r="31" spans="1:72" x14ac:dyDescent="0.3">
      <c r="B31" s="3"/>
      <c r="F31" s="4"/>
      <c r="H31" s="5"/>
      <c r="I31" s="5"/>
      <c r="M31">
        <v>1</v>
      </c>
      <c r="N31" s="3">
        <f t="shared" si="4"/>
        <v>0.63</v>
      </c>
      <c r="O31">
        <v>630</v>
      </c>
      <c r="P31">
        <v>75</v>
      </c>
      <c r="Q31" s="69">
        <v>1.4278</v>
      </c>
      <c r="R31" s="4" t="s">
        <v>633</v>
      </c>
      <c r="S31" t="s">
        <v>634</v>
      </c>
      <c r="T31" s="5">
        <v>45413</v>
      </c>
      <c r="U31" s="5">
        <v>51501</v>
      </c>
      <c r="V31" t="s">
        <v>406</v>
      </c>
      <c r="W31" s="7"/>
      <c r="AK31">
        <v>24</v>
      </c>
      <c r="AL31" s="3">
        <f t="shared" si="1"/>
        <v>0.33</v>
      </c>
      <c r="AM31">
        <v>330</v>
      </c>
      <c r="AN31">
        <v>7920</v>
      </c>
      <c r="AO31" s="3">
        <f t="shared" si="2"/>
        <v>7.92</v>
      </c>
      <c r="AP31">
        <v>75</v>
      </c>
      <c r="AQ31" s="69">
        <v>15.567600000000001</v>
      </c>
      <c r="AR31" s="4" t="s">
        <v>635</v>
      </c>
      <c r="AS31" t="s">
        <v>636</v>
      </c>
      <c r="AT31" s="5">
        <v>45413</v>
      </c>
      <c r="AU31" s="5">
        <v>51501</v>
      </c>
      <c r="AV31" t="s">
        <v>406</v>
      </c>
      <c r="AW31" s="7"/>
      <c r="AY31">
        <v>4</v>
      </c>
      <c r="AZ31" s="3">
        <v>0.47299999999999998</v>
      </c>
      <c r="BA31">
        <v>473</v>
      </c>
      <c r="BB31">
        <v>1892</v>
      </c>
      <c r="BC31" s="3">
        <f t="shared" si="3"/>
        <v>1.8919999999999999</v>
      </c>
      <c r="BD31">
        <v>75</v>
      </c>
      <c r="BE31">
        <v>3.8502000000000001</v>
      </c>
      <c r="BF31" t="s">
        <v>905</v>
      </c>
      <c r="BG31" t="s">
        <v>473</v>
      </c>
      <c r="BH31" s="5">
        <v>45413</v>
      </c>
      <c r="BI31" s="5">
        <v>51501</v>
      </c>
      <c r="BJ31" t="s">
        <v>403</v>
      </c>
      <c r="BK31" s="7"/>
      <c r="BR31" s="69"/>
      <c r="BS31" s="78"/>
      <c r="BT31" s="69"/>
    </row>
    <row r="32" spans="1:72" x14ac:dyDescent="0.3">
      <c r="B32" s="3"/>
      <c r="F32" s="4"/>
      <c r="H32" s="5"/>
      <c r="I32" s="5"/>
      <c r="M32">
        <v>1</v>
      </c>
      <c r="N32" s="3">
        <f t="shared" si="4"/>
        <v>0.63300000000000001</v>
      </c>
      <c r="O32">
        <v>633</v>
      </c>
      <c r="P32">
        <v>75</v>
      </c>
      <c r="Q32" s="69">
        <v>1.4346000000000001</v>
      </c>
      <c r="R32" s="4" t="s">
        <v>637</v>
      </c>
      <c r="S32" t="s">
        <v>638</v>
      </c>
      <c r="T32" s="5">
        <v>45413</v>
      </c>
      <c r="U32" s="5">
        <v>51501</v>
      </c>
      <c r="V32" t="s">
        <v>406</v>
      </c>
      <c r="W32" s="7"/>
      <c r="AK32">
        <v>24</v>
      </c>
      <c r="AL32" s="3">
        <f t="shared" si="1"/>
        <v>0.34100000000000003</v>
      </c>
      <c r="AM32">
        <v>341</v>
      </c>
      <c r="AN32">
        <v>8184</v>
      </c>
      <c r="AO32" s="3">
        <f t="shared" si="2"/>
        <v>8.1840000000000011</v>
      </c>
      <c r="AP32">
        <v>75</v>
      </c>
      <c r="AQ32" s="69">
        <v>16.086500000000001</v>
      </c>
      <c r="AR32" s="4" t="s">
        <v>639</v>
      </c>
      <c r="AS32" t="s">
        <v>640</v>
      </c>
      <c r="AT32" s="5">
        <v>45413</v>
      </c>
      <c r="AU32" s="5">
        <v>51501</v>
      </c>
      <c r="AV32" t="s">
        <v>406</v>
      </c>
      <c r="AW32" s="7"/>
      <c r="AY32">
        <v>4</v>
      </c>
      <c r="AZ32" s="3">
        <v>0.5</v>
      </c>
      <c r="BA32">
        <v>500</v>
      </c>
      <c r="BB32">
        <v>2000</v>
      </c>
      <c r="BC32" s="3">
        <f t="shared" si="3"/>
        <v>2</v>
      </c>
      <c r="BD32">
        <v>75</v>
      </c>
      <c r="BE32">
        <v>4.07</v>
      </c>
      <c r="BF32" t="s">
        <v>906</v>
      </c>
      <c r="BG32" t="s">
        <v>907</v>
      </c>
      <c r="BH32" s="5">
        <v>45413</v>
      </c>
      <c r="BI32" s="5">
        <v>51501</v>
      </c>
      <c r="BJ32" t="s">
        <v>403</v>
      </c>
      <c r="BK32" s="7"/>
      <c r="BR32" s="69"/>
      <c r="BS32" s="78"/>
      <c r="BT32" s="69"/>
    </row>
    <row r="33" spans="2:72" x14ac:dyDescent="0.3">
      <c r="B33" s="3"/>
      <c r="F33" s="4"/>
      <c r="H33" s="5"/>
      <c r="I33" s="5"/>
      <c r="M33">
        <v>1</v>
      </c>
      <c r="N33" s="3">
        <f t="shared" si="4"/>
        <v>0.64</v>
      </c>
      <c r="O33">
        <v>640</v>
      </c>
      <c r="P33">
        <v>75</v>
      </c>
      <c r="Q33" s="69">
        <v>1.4503999999999999</v>
      </c>
      <c r="R33" s="4" t="s">
        <v>641</v>
      </c>
      <c r="S33" t="s">
        <v>642</v>
      </c>
      <c r="T33" s="5">
        <v>45413</v>
      </c>
      <c r="U33" s="5">
        <v>51501</v>
      </c>
      <c r="V33" t="s">
        <v>406</v>
      </c>
      <c r="W33" s="7"/>
      <c r="AK33">
        <v>24</v>
      </c>
      <c r="AL33" s="3">
        <f t="shared" si="1"/>
        <v>0.35499999999999998</v>
      </c>
      <c r="AM33">
        <v>355</v>
      </c>
      <c r="AN33">
        <v>8520</v>
      </c>
      <c r="AO33" s="3">
        <f t="shared" si="2"/>
        <v>8.52</v>
      </c>
      <c r="AP33">
        <v>75</v>
      </c>
      <c r="AQ33" s="69">
        <v>16.7469</v>
      </c>
      <c r="AR33" s="4" t="s">
        <v>643</v>
      </c>
      <c r="AS33" t="s">
        <v>644</v>
      </c>
      <c r="AT33" s="5">
        <v>45413</v>
      </c>
      <c r="AU33" s="5">
        <v>51501</v>
      </c>
      <c r="AV33" t="s">
        <v>406</v>
      </c>
      <c r="AW33" s="7"/>
      <c r="AY33">
        <v>8</v>
      </c>
      <c r="AZ33" s="3">
        <v>0.222</v>
      </c>
      <c r="BA33">
        <v>222</v>
      </c>
      <c r="BB33">
        <v>1776</v>
      </c>
      <c r="BC33" s="3">
        <f t="shared" si="3"/>
        <v>1.776</v>
      </c>
      <c r="BD33">
        <v>75</v>
      </c>
      <c r="BE33">
        <v>3.6141999999999999</v>
      </c>
      <c r="BF33" t="s">
        <v>908</v>
      </c>
      <c r="BG33" t="s">
        <v>909</v>
      </c>
      <c r="BH33" s="5">
        <v>45413</v>
      </c>
      <c r="BI33" s="5">
        <v>51501</v>
      </c>
      <c r="BJ33" t="s">
        <v>403</v>
      </c>
      <c r="BK33" s="7"/>
      <c r="BR33" s="69"/>
      <c r="BS33" s="78"/>
      <c r="BT33" s="69"/>
    </row>
    <row r="34" spans="2:72" x14ac:dyDescent="0.3">
      <c r="B34" s="3"/>
      <c r="F34" s="4"/>
      <c r="H34" s="5"/>
      <c r="I34" s="5"/>
      <c r="M34">
        <v>1</v>
      </c>
      <c r="N34" s="3">
        <f t="shared" si="4"/>
        <v>0.65</v>
      </c>
      <c r="O34">
        <v>650</v>
      </c>
      <c r="P34">
        <v>75</v>
      </c>
      <c r="Q34" s="69">
        <v>1.4731000000000001</v>
      </c>
      <c r="R34" s="4" t="s">
        <v>645</v>
      </c>
      <c r="S34" t="s">
        <v>646</v>
      </c>
      <c r="T34" s="5">
        <v>45413</v>
      </c>
      <c r="U34" s="5">
        <v>51501</v>
      </c>
      <c r="V34" t="s">
        <v>406</v>
      </c>
      <c r="W34" s="7"/>
      <c r="AK34">
        <v>4</v>
      </c>
      <c r="AL34" s="3">
        <v>0.65</v>
      </c>
      <c r="AM34">
        <v>650</v>
      </c>
      <c r="AN34">
        <v>2600</v>
      </c>
      <c r="AO34" s="3">
        <f t="shared" si="2"/>
        <v>2.6</v>
      </c>
      <c r="AP34">
        <v>75</v>
      </c>
      <c r="AQ34" s="69">
        <v>5.2910000000000004</v>
      </c>
      <c r="AR34" t="s">
        <v>881</v>
      </c>
      <c r="AS34" t="s">
        <v>882</v>
      </c>
      <c r="AT34" s="5">
        <v>45413</v>
      </c>
      <c r="AU34" s="5">
        <v>51501</v>
      </c>
      <c r="AV34" t="s">
        <v>406</v>
      </c>
      <c r="AW34" s="7"/>
      <c r="AY34">
        <v>10</v>
      </c>
      <c r="AZ34" s="3">
        <v>0.47299999999999998</v>
      </c>
      <c r="BA34">
        <v>473</v>
      </c>
      <c r="BB34">
        <v>4730</v>
      </c>
      <c r="BC34" s="3">
        <f t="shared" si="3"/>
        <v>4.7299999999999995</v>
      </c>
      <c r="BD34">
        <v>75</v>
      </c>
      <c r="BE34">
        <v>9.2972999999999999</v>
      </c>
      <c r="BF34" t="s">
        <v>910</v>
      </c>
      <c r="BG34" t="s">
        <v>911</v>
      </c>
      <c r="BH34" s="5">
        <v>45413</v>
      </c>
      <c r="BI34" s="5">
        <v>51501</v>
      </c>
      <c r="BJ34" t="s">
        <v>403</v>
      </c>
      <c r="BK34" s="7"/>
      <c r="BR34" s="69"/>
      <c r="BS34" s="78"/>
      <c r="BT34" s="69"/>
    </row>
    <row r="35" spans="2:72" x14ac:dyDescent="0.3">
      <c r="H35" s="5"/>
      <c r="I35" s="5"/>
      <c r="M35">
        <v>1</v>
      </c>
      <c r="N35" s="3">
        <f t="shared" si="4"/>
        <v>0.65800000000000003</v>
      </c>
      <c r="O35">
        <v>658</v>
      </c>
      <c r="P35">
        <v>75</v>
      </c>
      <c r="Q35" s="69">
        <v>1.4912000000000001</v>
      </c>
      <c r="R35" s="4" t="s">
        <v>647</v>
      </c>
      <c r="S35" t="s">
        <v>648</v>
      </c>
      <c r="T35" s="5">
        <v>45413</v>
      </c>
      <c r="U35" s="5">
        <v>51501</v>
      </c>
      <c r="V35" t="s">
        <v>406</v>
      </c>
      <c r="W35" s="7"/>
      <c r="AK35">
        <v>26</v>
      </c>
      <c r="AL35" s="3">
        <v>0.34100000000000003</v>
      </c>
      <c r="AM35">
        <v>341</v>
      </c>
      <c r="AN35">
        <v>8866</v>
      </c>
      <c r="AO35" s="3">
        <v>8.6519999999999992</v>
      </c>
      <c r="AP35">
        <v>75</v>
      </c>
      <c r="AQ35" s="69">
        <v>17.006399999999999</v>
      </c>
      <c r="AR35" t="s">
        <v>883</v>
      </c>
      <c r="AS35" t="s">
        <v>884</v>
      </c>
      <c r="AT35" s="5">
        <v>45413</v>
      </c>
      <c r="AU35" s="5">
        <v>51501</v>
      </c>
      <c r="AV35" t="s">
        <v>406</v>
      </c>
      <c r="AW35" s="7"/>
      <c r="AY35">
        <v>5</v>
      </c>
      <c r="AZ35" s="3">
        <v>0.47299999999999998</v>
      </c>
      <c r="BA35">
        <v>473</v>
      </c>
      <c r="BB35">
        <v>2365</v>
      </c>
      <c r="BC35" s="3">
        <f t="shared" si="3"/>
        <v>2.3649999999999998</v>
      </c>
      <c r="BD35">
        <v>75</v>
      </c>
      <c r="BE35">
        <v>4.8128000000000002</v>
      </c>
      <c r="BF35" t="s">
        <v>912</v>
      </c>
      <c r="BG35" t="s">
        <v>913</v>
      </c>
      <c r="BH35" s="5">
        <v>45413</v>
      </c>
      <c r="BI35" s="5">
        <v>51501</v>
      </c>
      <c r="BJ35" t="s">
        <v>403</v>
      </c>
      <c r="BK35" s="7"/>
      <c r="BR35" s="69"/>
      <c r="BS35" s="78"/>
      <c r="BT35" s="69"/>
    </row>
    <row r="36" spans="2:72" x14ac:dyDescent="0.3">
      <c r="H36" s="5"/>
      <c r="I36" s="5"/>
      <c r="M36">
        <v>1</v>
      </c>
      <c r="N36" s="3">
        <f t="shared" si="4"/>
        <v>0.66</v>
      </c>
      <c r="O36">
        <v>660</v>
      </c>
      <c r="P36">
        <v>75</v>
      </c>
      <c r="Q36" s="69">
        <v>1.4958</v>
      </c>
      <c r="R36" s="4" t="s">
        <v>649</v>
      </c>
      <c r="S36" t="s">
        <v>650</v>
      </c>
      <c r="T36" s="5">
        <v>45413</v>
      </c>
      <c r="U36" s="5">
        <v>51501</v>
      </c>
      <c r="V36" t="s">
        <v>406</v>
      </c>
      <c r="W36" s="7"/>
      <c r="AK36">
        <v>22</v>
      </c>
      <c r="AL36" s="3">
        <v>0.33</v>
      </c>
      <c r="AM36">
        <v>330</v>
      </c>
      <c r="AN36">
        <v>7260</v>
      </c>
      <c r="AO36" s="3">
        <v>7.77</v>
      </c>
      <c r="AP36">
        <v>75</v>
      </c>
      <c r="AQ36" s="69">
        <v>15.2727</v>
      </c>
      <c r="AR36" t="s">
        <v>885</v>
      </c>
      <c r="AS36" t="s">
        <v>886</v>
      </c>
      <c r="AT36" s="5">
        <v>45413</v>
      </c>
      <c r="AU36" s="5">
        <v>51501</v>
      </c>
      <c r="AV36" t="s">
        <v>406</v>
      </c>
      <c r="AW36" s="7"/>
      <c r="AY36">
        <v>8</v>
      </c>
      <c r="AZ36" s="3">
        <v>0.35499999999999998</v>
      </c>
      <c r="BA36">
        <v>355</v>
      </c>
      <c r="BB36">
        <v>2840</v>
      </c>
      <c r="BC36" s="3">
        <v>3.3</v>
      </c>
      <c r="BD36">
        <v>75</v>
      </c>
      <c r="BE36">
        <v>6.4865000000000004</v>
      </c>
      <c r="BF36" t="s">
        <v>914</v>
      </c>
      <c r="BG36" t="s">
        <v>915</v>
      </c>
      <c r="BH36" s="5">
        <v>45413</v>
      </c>
      <c r="BI36" s="5">
        <v>51501</v>
      </c>
      <c r="BJ36" t="s">
        <v>403</v>
      </c>
      <c r="BK36" s="7"/>
      <c r="BR36" s="69"/>
      <c r="BS36" s="78"/>
      <c r="BT36" s="69"/>
    </row>
    <row r="37" spans="2:72" x14ac:dyDescent="0.3">
      <c r="H37" s="5"/>
      <c r="I37" s="5"/>
      <c r="M37">
        <v>1</v>
      </c>
      <c r="N37" s="3">
        <f t="shared" si="4"/>
        <v>0.71</v>
      </c>
      <c r="O37">
        <v>710</v>
      </c>
      <c r="P37">
        <v>75</v>
      </c>
      <c r="Q37" s="69">
        <v>1.6091</v>
      </c>
      <c r="R37" s="4" t="s">
        <v>651</v>
      </c>
      <c r="S37" t="s">
        <v>652</v>
      </c>
      <c r="T37" s="5">
        <v>45413</v>
      </c>
      <c r="U37" s="5">
        <v>51501</v>
      </c>
      <c r="V37" t="s">
        <v>406</v>
      </c>
      <c r="W37" s="7"/>
      <c r="AK37">
        <v>24</v>
      </c>
      <c r="AL37" s="3">
        <v>0.33</v>
      </c>
      <c r="AM37">
        <v>330</v>
      </c>
      <c r="AN37">
        <v>7920</v>
      </c>
      <c r="AO37" s="3">
        <v>8.43</v>
      </c>
      <c r="AP37">
        <v>75</v>
      </c>
      <c r="AQ37" s="69">
        <v>16.57</v>
      </c>
      <c r="AR37" t="s">
        <v>887</v>
      </c>
      <c r="AS37" t="s">
        <v>888</v>
      </c>
      <c r="AT37" s="5">
        <v>45413</v>
      </c>
      <c r="AU37" s="5">
        <v>51501</v>
      </c>
      <c r="AV37" t="s">
        <v>406</v>
      </c>
      <c r="AW37" s="7"/>
      <c r="AY37">
        <v>10</v>
      </c>
      <c r="AZ37" s="3">
        <v>0.35499999999999998</v>
      </c>
      <c r="BA37">
        <v>355</v>
      </c>
      <c r="BB37">
        <v>3550</v>
      </c>
      <c r="BC37" s="3">
        <v>4.18</v>
      </c>
      <c r="BD37">
        <v>75</v>
      </c>
      <c r="BE37">
        <v>8.2162000000000006</v>
      </c>
      <c r="BF37" t="s">
        <v>916</v>
      </c>
      <c r="BG37" t="s">
        <v>917</v>
      </c>
      <c r="BH37" s="5">
        <v>45413</v>
      </c>
      <c r="BI37" s="5">
        <v>51501</v>
      </c>
      <c r="BJ37" t="s">
        <v>403</v>
      </c>
      <c r="BK37" s="7"/>
      <c r="BR37" s="69"/>
      <c r="BS37" s="78"/>
      <c r="BT37" s="69"/>
    </row>
    <row r="38" spans="2:72" x14ac:dyDescent="0.3">
      <c r="H38" s="5"/>
      <c r="I38" s="5"/>
      <c r="M38">
        <v>1</v>
      </c>
      <c r="N38" s="3">
        <f t="shared" si="4"/>
        <v>0.75</v>
      </c>
      <c r="O38">
        <v>750</v>
      </c>
      <c r="P38">
        <v>75</v>
      </c>
      <c r="Q38" s="69">
        <v>1.6997</v>
      </c>
      <c r="R38" s="4" t="s">
        <v>653</v>
      </c>
      <c r="S38" t="s">
        <v>654</v>
      </c>
      <c r="T38" s="5">
        <v>45413</v>
      </c>
      <c r="U38" s="5">
        <v>51501</v>
      </c>
      <c r="V38" t="s">
        <v>406</v>
      </c>
      <c r="W38" s="7"/>
      <c r="AK38">
        <v>22</v>
      </c>
      <c r="AL38" s="3">
        <v>0.33</v>
      </c>
      <c r="AM38">
        <v>330</v>
      </c>
      <c r="AN38">
        <v>7260</v>
      </c>
      <c r="AO38" s="3">
        <f t="shared" si="2"/>
        <v>7.2600000000000007</v>
      </c>
      <c r="AP38">
        <v>75</v>
      </c>
      <c r="AQ38" s="69">
        <v>14.270300000000001</v>
      </c>
      <c r="AR38" t="s">
        <v>889</v>
      </c>
      <c r="AS38" t="s">
        <v>890</v>
      </c>
      <c r="AT38" s="5">
        <v>45413</v>
      </c>
      <c r="AU38" s="5">
        <v>51501</v>
      </c>
      <c r="AV38" t="s">
        <v>406</v>
      </c>
      <c r="AW38" s="7"/>
      <c r="AY38">
        <v>28</v>
      </c>
      <c r="AZ38" s="3">
        <v>0.35499999999999998</v>
      </c>
      <c r="BA38">
        <v>355</v>
      </c>
      <c r="BB38">
        <v>9940</v>
      </c>
      <c r="BC38" s="3">
        <v>9.52</v>
      </c>
      <c r="BD38">
        <v>75</v>
      </c>
      <c r="BE38">
        <v>18.712499999999999</v>
      </c>
      <c r="BF38" t="s">
        <v>918</v>
      </c>
      <c r="BG38" t="s">
        <v>919</v>
      </c>
      <c r="BH38" s="5">
        <v>45413</v>
      </c>
      <c r="BI38" s="5">
        <v>51501</v>
      </c>
      <c r="BJ38" t="s">
        <v>403</v>
      </c>
      <c r="BK38" s="7"/>
      <c r="BR38" s="69"/>
      <c r="BS38" s="78"/>
      <c r="BT38" s="69"/>
    </row>
    <row r="39" spans="2:72" x14ac:dyDescent="0.3">
      <c r="H39" s="5"/>
      <c r="I39" s="5"/>
      <c r="M39">
        <v>1</v>
      </c>
      <c r="N39" s="3">
        <f t="shared" si="4"/>
        <v>0.76500000000000001</v>
      </c>
      <c r="O39">
        <v>765</v>
      </c>
      <c r="P39">
        <v>75</v>
      </c>
      <c r="Q39" s="69">
        <v>1.7337</v>
      </c>
      <c r="R39" s="4" t="s">
        <v>655</v>
      </c>
      <c r="S39" t="s">
        <v>656</v>
      </c>
      <c r="T39" s="5">
        <v>45413</v>
      </c>
      <c r="U39" s="5">
        <v>51501</v>
      </c>
      <c r="V39" t="s">
        <v>406</v>
      </c>
      <c r="W39" s="7"/>
      <c r="AK39">
        <v>24</v>
      </c>
      <c r="AL39" s="3">
        <v>0.35499999999999998</v>
      </c>
      <c r="AM39">
        <v>355</v>
      </c>
      <c r="AN39">
        <v>8520</v>
      </c>
      <c r="AO39" s="3">
        <v>8.4640000000000004</v>
      </c>
      <c r="AP39">
        <v>75</v>
      </c>
      <c r="AQ39" s="69">
        <v>16.636800000000001</v>
      </c>
      <c r="AR39" t="s">
        <v>891</v>
      </c>
      <c r="AS39" t="s">
        <v>892</v>
      </c>
      <c r="AT39" s="5">
        <v>45413</v>
      </c>
      <c r="AU39" s="5">
        <v>51501</v>
      </c>
      <c r="AV39" t="s">
        <v>406</v>
      </c>
      <c r="AW39" s="7"/>
      <c r="AY39">
        <v>6</v>
      </c>
      <c r="AZ39" s="3">
        <v>0.35499999999999998</v>
      </c>
      <c r="BA39">
        <v>355</v>
      </c>
      <c r="BB39">
        <v>2130</v>
      </c>
      <c r="BC39" s="3">
        <v>2.8919999999999999</v>
      </c>
      <c r="BD39">
        <v>75</v>
      </c>
      <c r="BE39">
        <v>5.8852000000000002</v>
      </c>
      <c r="BF39" t="s">
        <v>920</v>
      </c>
      <c r="BG39" t="s">
        <v>921</v>
      </c>
      <c r="BH39" s="5">
        <v>45413</v>
      </c>
      <c r="BI39" s="5">
        <v>51501</v>
      </c>
      <c r="BJ39" t="s">
        <v>403</v>
      </c>
      <c r="BK39" s="7"/>
      <c r="BR39" s="69"/>
      <c r="BS39" s="78"/>
      <c r="BT39" s="69"/>
    </row>
    <row r="40" spans="2:72" x14ac:dyDescent="0.3">
      <c r="H40" s="5"/>
      <c r="I40" s="5"/>
      <c r="M40">
        <v>1</v>
      </c>
      <c r="N40" s="3">
        <f t="shared" si="4"/>
        <v>0.90900000000000003</v>
      </c>
      <c r="O40">
        <v>909</v>
      </c>
      <c r="P40">
        <v>75</v>
      </c>
      <c r="Q40" s="69">
        <v>2.0600999999999998</v>
      </c>
      <c r="R40" s="4" t="s">
        <v>657</v>
      </c>
      <c r="S40" t="s">
        <v>658</v>
      </c>
      <c r="T40" s="5">
        <v>45413</v>
      </c>
      <c r="U40" s="5">
        <v>51501</v>
      </c>
      <c r="V40" t="s">
        <v>406</v>
      </c>
      <c r="W40" s="7"/>
      <c r="AK40">
        <v>24</v>
      </c>
      <c r="AL40" s="3">
        <f t="shared" ref="AL40:AL43" si="5">AM40/1000</f>
        <v>0.35499999999999998</v>
      </c>
      <c r="AM40">
        <v>355</v>
      </c>
      <c r="AN40">
        <v>8520</v>
      </c>
      <c r="AO40" s="3">
        <v>8.0050000000000008</v>
      </c>
      <c r="AP40">
        <v>75</v>
      </c>
      <c r="AQ40" s="69">
        <v>15.7346</v>
      </c>
      <c r="AR40" t="s">
        <v>893</v>
      </c>
      <c r="AS40" t="s">
        <v>894</v>
      </c>
      <c r="AT40" s="5">
        <v>45413</v>
      </c>
      <c r="AU40" s="5">
        <v>51501</v>
      </c>
      <c r="AV40" t="s">
        <v>406</v>
      </c>
      <c r="AW40" s="7"/>
      <c r="AY40">
        <v>24</v>
      </c>
      <c r="AZ40" s="3">
        <v>0.5</v>
      </c>
      <c r="BA40">
        <v>500</v>
      </c>
      <c r="BB40">
        <v>12000</v>
      </c>
      <c r="BC40" s="3">
        <f>AY40*AZ40</f>
        <v>12</v>
      </c>
      <c r="BD40">
        <v>75</v>
      </c>
      <c r="BE40">
        <v>23.587199999999999</v>
      </c>
      <c r="BF40" t="s">
        <v>922</v>
      </c>
      <c r="BG40" t="s">
        <v>923</v>
      </c>
      <c r="BH40" s="5">
        <v>45413</v>
      </c>
      <c r="BI40" s="5">
        <v>51501</v>
      </c>
      <c r="BJ40" t="s">
        <v>403</v>
      </c>
      <c r="BK40" s="7"/>
      <c r="BR40" s="69"/>
      <c r="BS40" s="78"/>
      <c r="BT40" s="69"/>
    </row>
    <row r="41" spans="2:72" x14ac:dyDescent="0.3">
      <c r="H41" s="5"/>
      <c r="I41" s="5"/>
      <c r="M41">
        <v>1</v>
      </c>
      <c r="N41" s="3">
        <f t="shared" si="4"/>
        <v>0.94599999999999995</v>
      </c>
      <c r="O41">
        <v>946</v>
      </c>
      <c r="P41">
        <v>75</v>
      </c>
      <c r="Q41" s="69">
        <v>2.1438999999999999</v>
      </c>
      <c r="R41" s="4" t="s">
        <v>659</v>
      </c>
      <c r="S41" t="s">
        <v>660</v>
      </c>
      <c r="T41" s="5">
        <v>45413</v>
      </c>
      <c r="U41" s="5">
        <v>51501</v>
      </c>
      <c r="V41" t="s">
        <v>406</v>
      </c>
      <c r="W41" s="7"/>
      <c r="AK41">
        <v>24</v>
      </c>
      <c r="AL41" s="3">
        <f t="shared" si="5"/>
        <v>0.35499999999999998</v>
      </c>
      <c r="AM41">
        <v>355</v>
      </c>
      <c r="AN41">
        <v>8520</v>
      </c>
      <c r="AO41" s="3">
        <v>8.609</v>
      </c>
      <c r="AP41">
        <v>75</v>
      </c>
      <c r="AQ41" s="69">
        <v>16.921900000000001</v>
      </c>
      <c r="AR41" t="s">
        <v>895</v>
      </c>
      <c r="AS41" t="s">
        <v>896</v>
      </c>
      <c r="AT41" s="5">
        <v>45413</v>
      </c>
      <c r="AU41" s="5">
        <v>51501</v>
      </c>
      <c r="AV41" t="s">
        <v>406</v>
      </c>
      <c r="AW41" s="7"/>
      <c r="AY41">
        <v>15</v>
      </c>
      <c r="AZ41" s="3">
        <v>0.47299999999999998</v>
      </c>
      <c r="BA41">
        <v>473</v>
      </c>
      <c r="BB41">
        <v>7095</v>
      </c>
      <c r="BC41" s="3">
        <f t="shared" si="3"/>
        <v>7.0949999999999998</v>
      </c>
      <c r="BD41">
        <v>75</v>
      </c>
      <c r="BE41">
        <v>13.9459</v>
      </c>
      <c r="BF41" t="s">
        <v>924</v>
      </c>
      <c r="BG41" t="s">
        <v>925</v>
      </c>
      <c r="BH41" s="5">
        <v>45413</v>
      </c>
      <c r="BI41" s="5">
        <v>51501</v>
      </c>
      <c r="BJ41" t="s">
        <v>403</v>
      </c>
      <c r="BK41" s="7"/>
      <c r="BR41" s="69"/>
      <c r="BS41" s="78"/>
      <c r="BT41" s="69"/>
    </row>
    <row r="42" spans="2:72" x14ac:dyDescent="0.3">
      <c r="M42">
        <v>1</v>
      </c>
      <c r="N42" s="3">
        <v>0.28399999999999997</v>
      </c>
      <c r="O42">
        <v>284</v>
      </c>
      <c r="P42">
        <v>75</v>
      </c>
      <c r="Q42" s="69">
        <v>0.64359999999999995</v>
      </c>
      <c r="R42" t="s">
        <v>875</v>
      </c>
      <c r="S42" t="s">
        <v>876</v>
      </c>
      <c r="T42" s="5">
        <v>45413</v>
      </c>
      <c r="U42" s="5">
        <v>51501</v>
      </c>
      <c r="V42" t="s">
        <v>406</v>
      </c>
      <c r="W42" s="7"/>
      <c r="AK42">
        <v>24</v>
      </c>
      <c r="AL42" s="3">
        <f t="shared" si="5"/>
        <v>0.35499999999999998</v>
      </c>
      <c r="AM42">
        <v>355</v>
      </c>
      <c r="AN42">
        <v>8520</v>
      </c>
      <c r="AO42" s="3">
        <v>8.0519999999999996</v>
      </c>
      <c r="AP42">
        <v>75</v>
      </c>
      <c r="AQ42" s="69">
        <v>15.827</v>
      </c>
      <c r="AR42" t="s">
        <v>897</v>
      </c>
      <c r="AS42" t="s">
        <v>898</v>
      </c>
      <c r="AT42" s="5">
        <v>45413</v>
      </c>
      <c r="AU42" s="5">
        <v>51501</v>
      </c>
      <c r="AV42" t="s">
        <v>406</v>
      </c>
      <c r="AW42" s="7"/>
      <c r="AY42">
        <v>12</v>
      </c>
      <c r="AZ42" s="3">
        <v>0.47299999999999998</v>
      </c>
      <c r="BA42">
        <v>473</v>
      </c>
      <c r="BB42">
        <v>5676</v>
      </c>
      <c r="BC42" s="3">
        <f t="shared" si="3"/>
        <v>5.6760000000000002</v>
      </c>
      <c r="BD42">
        <v>75</v>
      </c>
      <c r="BE42">
        <v>11.156700000000001</v>
      </c>
      <c r="BF42" t="s">
        <v>926</v>
      </c>
      <c r="BG42" t="s">
        <v>927</v>
      </c>
      <c r="BH42" s="5">
        <v>45413</v>
      </c>
      <c r="BI42" s="5">
        <v>51501</v>
      </c>
      <c r="BJ42" t="s">
        <v>403</v>
      </c>
      <c r="BK42" s="7"/>
      <c r="BR42" s="69"/>
      <c r="BS42" s="78"/>
      <c r="BT42" s="69"/>
    </row>
    <row r="43" spans="2:72" x14ac:dyDescent="0.3">
      <c r="M43">
        <v>1</v>
      </c>
      <c r="N43" s="3">
        <v>0.34</v>
      </c>
      <c r="O43">
        <v>340</v>
      </c>
      <c r="P43">
        <v>75</v>
      </c>
      <c r="Q43" s="69">
        <v>0.77049999999999996</v>
      </c>
      <c r="R43" t="s">
        <v>877</v>
      </c>
      <c r="S43" t="s">
        <v>878</v>
      </c>
      <c r="T43" s="5">
        <v>45413</v>
      </c>
      <c r="U43" s="5">
        <v>51501</v>
      </c>
      <c r="V43" t="s">
        <v>406</v>
      </c>
      <c r="W43" s="7"/>
      <c r="AK43">
        <v>24</v>
      </c>
      <c r="AL43" s="3">
        <f t="shared" si="5"/>
        <v>0.35499999999999998</v>
      </c>
      <c r="AM43">
        <v>355</v>
      </c>
      <c r="AN43">
        <v>8520</v>
      </c>
      <c r="AO43" s="3">
        <v>4.1479999999999997</v>
      </c>
      <c r="AP43">
        <v>75</v>
      </c>
      <c r="AQ43" s="69">
        <v>8.1532999999999998</v>
      </c>
      <c r="AR43" t="s">
        <v>899</v>
      </c>
      <c r="AS43" t="s">
        <v>900</v>
      </c>
      <c r="AT43" s="5">
        <v>45413</v>
      </c>
      <c r="AU43" s="5">
        <v>51501</v>
      </c>
      <c r="AV43" t="s">
        <v>406</v>
      </c>
      <c r="AW43" s="7"/>
      <c r="AY43">
        <v>48</v>
      </c>
      <c r="AZ43" s="3">
        <v>0.47299999999999998</v>
      </c>
      <c r="BA43">
        <v>473</v>
      </c>
      <c r="BB43">
        <v>22704</v>
      </c>
      <c r="BC43" s="3">
        <f t="shared" si="3"/>
        <v>22.704000000000001</v>
      </c>
      <c r="BD43">
        <v>75</v>
      </c>
      <c r="BE43">
        <v>34.126399999999997</v>
      </c>
      <c r="BF43" t="s">
        <v>928</v>
      </c>
      <c r="BG43" t="s">
        <v>929</v>
      </c>
      <c r="BH43" s="5">
        <v>45413</v>
      </c>
      <c r="BI43" s="5">
        <v>51501</v>
      </c>
      <c r="BJ43" t="s">
        <v>403</v>
      </c>
      <c r="BK43" s="7"/>
      <c r="BR43" s="69"/>
      <c r="BS43" s="78"/>
      <c r="BT43" s="69"/>
    </row>
    <row r="44" spans="2:72" x14ac:dyDescent="0.3">
      <c r="N44" s="3"/>
      <c r="R44" s="4"/>
      <c r="T44" s="5"/>
      <c r="U44" s="5"/>
      <c r="AK44">
        <v>12</v>
      </c>
      <c r="AL44" s="3">
        <v>0.34100000000000003</v>
      </c>
      <c r="AM44">
        <v>341</v>
      </c>
      <c r="AN44">
        <v>4092</v>
      </c>
      <c r="AO44" s="3">
        <v>4.12</v>
      </c>
      <c r="AP44">
        <v>75</v>
      </c>
      <c r="AQ44" s="69">
        <v>8.0983000000000001</v>
      </c>
      <c r="AR44" t="s">
        <v>901</v>
      </c>
      <c r="AS44" t="s">
        <v>902</v>
      </c>
      <c r="AT44" s="5">
        <v>45413</v>
      </c>
      <c r="AU44" s="5">
        <v>51501</v>
      </c>
      <c r="AV44" t="s">
        <v>406</v>
      </c>
      <c r="AW44" s="7"/>
      <c r="AY44">
        <v>4</v>
      </c>
      <c r="AZ44" s="3">
        <v>0.222</v>
      </c>
      <c r="BA44">
        <v>222</v>
      </c>
      <c r="BB44">
        <v>888</v>
      </c>
      <c r="BC44" s="3">
        <f t="shared" si="3"/>
        <v>0.88800000000000001</v>
      </c>
      <c r="BD44">
        <v>75</v>
      </c>
      <c r="BE44">
        <v>2.0125000000000002</v>
      </c>
      <c r="BF44" t="s">
        <v>930</v>
      </c>
      <c r="BG44" t="s">
        <v>931</v>
      </c>
      <c r="BH44" s="5">
        <v>45413</v>
      </c>
      <c r="BI44" s="5">
        <v>51501</v>
      </c>
      <c r="BJ44" t="s">
        <v>403</v>
      </c>
      <c r="BK44" s="7"/>
      <c r="BR44" s="69"/>
      <c r="BS44" s="78"/>
      <c r="BT44" s="69"/>
    </row>
    <row r="45" spans="2:72" x14ac:dyDescent="0.3">
      <c r="N45" s="3"/>
      <c r="R45" s="4"/>
      <c r="T45" s="5"/>
      <c r="U45" s="5"/>
      <c r="AK45">
        <v>8</v>
      </c>
      <c r="AL45" s="3">
        <v>0.5</v>
      </c>
      <c r="AM45">
        <v>500</v>
      </c>
      <c r="AN45">
        <v>4000</v>
      </c>
      <c r="AO45" s="3">
        <f t="shared" si="2"/>
        <v>4</v>
      </c>
      <c r="AP45">
        <v>75</v>
      </c>
      <c r="AQ45" s="69">
        <v>7.8624000000000001</v>
      </c>
      <c r="AR45" t="s">
        <v>903</v>
      </c>
      <c r="AS45" t="s">
        <v>904</v>
      </c>
      <c r="AT45" s="5">
        <v>45413</v>
      </c>
      <c r="AU45" s="5">
        <v>51501</v>
      </c>
      <c r="AV45" t="s">
        <v>406</v>
      </c>
      <c r="AW45" s="7"/>
      <c r="AY45">
        <v>24</v>
      </c>
      <c r="AZ45" s="3">
        <v>0.35499999999999998</v>
      </c>
      <c r="BA45">
        <v>355</v>
      </c>
      <c r="BB45">
        <v>8520</v>
      </c>
      <c r="BC45" s="3">
        <v>8.39</v>
      </c>
      <c r="BD45">
        <v>75</v>
      </c>
      <c r="BE45">
        <v>16.491399999999999</v>
      </c>
      <c r="BF45" t="s">
        <v>932</v>
      </c>
      <c r="BG45" t="s">
        <v>933</v>
      </c>
      <c r="BH45" s="5">
        <v>45413</v>
      </c>
      <c r="BI45" s="5">
        <v>51501</v>
      </c>
      <c r="BJ45" t="s">
        <v>403</v>
      </c>
      <c r="BK45" s="7"/>
      <c r="BR45" s="69"/>
      <c r="BS45" s="78"/>
      <c r="BT45" s="69"/>
    </row>
    <row r="46" spans="2:72" x14ac:dyDescent="0.3">
      <c r="N46" s="3"/>
      <c r="R46" s="4"/>
      <c r="T46" s="5"/>
      <c r="U46" s="5"/>
      <c r="AT46" s="5"/>
      <c r="AU46" s="5"/>
      <c r="AW46" s="7"/>
      <c r="AY46">
        <v>24</v>
      </c>
      <c r="AZ46" s="3">
        <v>0.35499999999999998</v>
      </c>
      <c r="BA46">
        <v>355</v>
      </c>
      <c r="BB46">
        <v>8520</v>
      </c>
      <c r="BC46" s="3">
        <v>8.42</v>
      </c>
      <c r="BD46">
        <v>75</v>
      </c>
      <c r="BE46">
        <v>16.5504</v>
      </c>
      <c r="BF46" t="s">
        <v>934</v>
      </c>
      <c r="BG46" t="s">
        <v>935</v>
      </c>
      <c r="BH46" s="5">
        <v>45413</v>
      </c>
      <c r="BI46" s="5">
        <v>51501</v>
      </c>
      <c r="BJ46" t="s">
        <v>403</v>
      </c>
      <c r="BK46" s="7"/>
      <c r="BR46" s="69"/>
      <c r="BS46" s="78"/>
      <c r="BT46" s="69"/>
    </row>
    <row r="47" spans="2:72" x14ac:dyDescent="0.3">
      <c r="N47" s="3"/>
      <c r="R47" s="4"/>
      <c r="T47" s="5"/>
      <c r="U47" s="5"/>
      <c r="AL47"/>
      <c r="AO47"/>
      <c r="AW47" s="7"/>
      <c r="AY47">
        <v>4</v>
      </c>
      <c r="AZ47" s="3">
        <v>0.48</v>
      </c>
      <c r="BA47">
        <v>480</v>
      </c>
      <c r="BB47">
        <v>1920</v>
      </c>
      <c r="BC47" s="3">
        <f t="shared" ref="BC47" si="6">AY47*AZ47</f>
        <v>1.92</v>
      </c>
      <c r="BD47">
        <v>75</v>
      </c>
      <c r="BE47">
        <v>3.9072</v>
      </c>
      <c r="BF47" t="s">
        <v>951</v>
      </c>
      <c r="BG47" t="s">
        <v>931</v>
      </c>
      <c r="BH47" s="5">
        <v>45413</v>
      </c>
      <c r="BI47" s="5">
        <v>51501</v>
      </c>
      <c r="BJ47" t="s">
        <v>403</v>
      </c>
      <c r="BK47" s="7"/>
      <c r="BR47" s="69"/>
      <c r="BS47" s="78"/>
      <c r="BT47" s="69"/>
    </row>
    <row r="48" spans="2:72" x14ac:dyDescent="0.3">
      <c r="N48" s="3"/>
      <c r="R48" s="4"/>
      <c r="T48" s="5"/>
      <c r="U48" s="5"/>
      <c r="AL48"/>
      <c r="AO48"/>
      <c r="AW48" s="7"/>
      <c r="AY48">
        <v>6</v>
      </c>
      <c r="AZ48" s="3">
        <v>0.5</v>
      </c>
      <c r="BA48">
        <v>500</v>
      </c>
      <c r="BB48">
        <v>3</v>
      </c>
      <c r="BC48" s="3">
        <f t="shared" ref="BC48" si="7">AY48*AZ48</f>
        <v>3</v>
      </c>
      <c r="BD48">
        <v>75</v>
      </c>
      <c r="BE48">
        <v>4.1231999999999998</v>
      </c>
      <c r="BF48" t="s">
        <v>1156</v>
      </c>
      <c r="BG48" t="s">
        <v>1157</v>
      </c>
      <c r="BH48" s="5">
        <v>45413</v>
      </c>
      <c r="BI48" s="5">
        <v>51501</v>
      </c>
      <c r="BJ48" t="s">
        <v>403</v>
      </c>
      <c r="BK48" s="7"/>
      <c r="BS48" s="69"/>
      <c r="BT48" s="69"/>
    </row>
    <row r="49" spans="14:72" x14ac:dyDescent="0.3">
      <c r="N49" s="3"/>
      <c r="R49" s="4"/>
      <c r="T49" s="5"/>
      <c r="U49" s="5"/>
      <c r="AL49"/>
      <c r="AO49"/>
      <c r="AU49" s="5"/>
      <c r="BS49" s="69"/>
      <c r="BT49" s="69"/>
    </row>
    <row r="50" spans="14:72" x14ac:dyDescent="0.3">
      <c r="N50" s="3"/>
      <c r="R50" s="4"/>
      <c r="T50" s="5"/>
      <c r="U50" s="5"/>
      <c r="AL50"/>
      <c r="AO50"/>
      <c r="BH50" s="89"/>
      <c r="BS50" s="69"/>
      <c r="BT50" s="69"/>
    </row>
    <row r="51" spans="14:72" x14ac:dyDescent="0.3">
      <c r="N51" s="3"/>
      <c r="R51" s="4"/>
      <c r="T51" s="5"/>
      <c r="U51" s="5"/>
      <c r="AL51"/>
      <c r="AO51"/>
      <c r="BS51" s="69"/>
      <c r="BT51" s="69"/>
    </row>
    <row r="52" spans="14:72" x14ac:dyDescent="0.3">
      <c r="N52" s="3"/>
      <c r="R52" s="4"/>
      <c r="T52" s="5"/>
      <c r="U52" s="5"/>
      <c r="AL52"/>
      <c r="AO52"/>
      <c r="BS52" s="69"/>
      <c r="BT52" s="69"/>
    </row>
    <row r="53" spans="14:72" x14ac:dyDescent="0.3">
      <c r="N53" s="3"/>
      <c r="R53" s="4"/>
      <c r="T53" s="5"/>
      <c r="U53" s="5"/>
      <c r="AL53"/>
      <c r="AO53"/>
    </row>
    <row r="54" spans="14:72" x14ac:dyDescent="0.3">
      <c r="N54" s="3"/>
      <c r="R54" s="4"/>
      <c r="T54" s="5"/>
      <c r="U54" s="5"/>
      <c r="AL54"/>
      <c r="AO54"/>
    </row>
    <row r="55" spans="14:72" x14ac:dyDescent="0.3">
      <c r="N55" s="3"/>
      <c r="R55" s="4"/>
      <c r="T55" s="5"/>
      <c r="U55" s="5"/>
      <c r="AL55"/>
      <c r="AO55"/>
    </row>
    <row r="56" spans="14:72" x14ac:dyDescent="0.3">
      <c r="N56" s="3"/>
      <c r="R56" s="4"/>
      <c r="T56" s="5"/>
      <c r="U56" s="5"/>
      <c r="AL56"/>
      <c r="AO56"/>
    </row>
    <row r="57" spans="14:72" x14ac:dyDescent="0.3">
      <c r="N57" s="3"/>
      <c r="R57" s="4"/>
      <c r="T57" s="5"/>
      <c r="U57" s="5"/>
      <c r="AL57"/>
      <c r="AO57"/>
    </row>
    <row r="58" spans="14:72" x14ac:dyDescent="0.3">
      <c r="N58" s="3"/>
      <c r="R58" s="4"/>
      <c r="T58" s="5"/>
      <c r="U58" s="5"/>
      <c r="AL58"/>
      <c r="AO58"/>
    </row>
    <row r="59" spans="14:72" x14ac:dyDescent="0.3">
      <c r="N59" s="3"/>
      <c r="R59" s="4"/>
      <c r="T59" s="5"/>
      <c r="U59" s="5"/>
      <c r="AL59"/>
      <c r="AO59"/>
    </row>
    <row r="60" spans="14:72" x14ac:dyDescent="0.3">
      <c r="N60" s="3"/>
      <c r="R60" s="4"/>
      <c r="T60" s="5"/>
      <c r="U60" s="5"/>
      <c r="AL60"/>
      <c r="AO60"/>
    </row>
    <row r="61" spans="14:72" x14ac:dyDescent="0.3">
      <c r="N61" s="3"/>
      <c r="R61" s="4"/>
      <c r="T61" s="5"/>
      <c r="U61" s="5"/>
      <c r="AL61"/>
      <c r="AO61"/>
    </row>
    <row r="62" spans="14:72" x14ac:dyDescent="0.3">
      <c r="N62" s="3"/>
      <c r="R62" s="4"/>
      <c r="T62" s="5"/>
      <c r="U62" s="5"/>
    </row>
    <row r="63" spans="14:72" x14ac:dyDescent="0.3">
      <c r="N63" s="3"/>
      <c r="R63" s="4"/>
      <c r="T63" s="5"/>
      <c r="U63" s="5"/>
    </row>
    <row r="64" spans="14:72" x14ac:dyDescent="0.3">
      <c r="N64" s="3"/>
      <c r="R64" s="4"/>
      <c r="T64" s="5"/>
      <c r="U64" s="5"/>
    </row>
    <row r="65" spans="14:41" x14ac:dyDescent="0.3">
      <c r="N65" s="3"/>
      <c r="R65" s="4"/>
      <c r="T65" s="5"/>
      <c r="U65" s="5"/>
      <c r="AL65"/>
      <c r="AO65"/>
    </row>
    <row r="66" spans="14:41" x14ac:dyDescent="0.3">
      <c r="N66" s="3"/>
      <c r="R66" s="4"/>
      <c r="T66" s="5"/>
      <c r="U66" s="5"/>
      <c r="AL66"/>
      <c r="AO66"/>
    </row>
    <row r="67" spans="14:41" x14ac:dyDescent="0.3">
      <c r="N67" s="3"/>
      <c r="R67" s="4"/>
      <c r="T67" s="5"/>
      <c r="U67" s="5"/>
      <c r="AL67"/>
      <c r="AO67"/>
    </row>
    <row r="68" spans="14:41" x14ac:dyDescent="0.3">
      <c r="N68" s="3"/>
      <c r="R68" s="4"/>
      <c r="T68" s="5"/>
      <c r="U68" s="5"/>
      <c r="AL68"/>
      <c r="AO68"/>
    </row>
    <row r="69" spans="14:41" x14ac:dyDescent="0.3">
      <c r="N69" s="3"/>
      <c r="R69" s="4"/>
      <c r="T69" s="5"/>
      <c r="U69" s="5"/>
      <c r="AL69"/>
      <c r="AO69"/>
    </row>
    <row r="70" spans="14:41" x14ac:dyDescent="0.3">
      <c r="N70" s="3"/>
      <c r="R70" s="4"/>
      <c r="T70" s="5"/>
      <c r="U70" s="5"/>
      <c r="AL70"/>
      <c r="AO70"/>
    </row>
    <row r="71" spans="14:41" x14ac:dyDescent="0.3">
      <c r="N71" s="3"/>
      <c r="R71" s="4"/>
      <c r="T71" s="5"/>
      <c r="U71" s="5"/>
      <c r="AL71"/>
      <c r="AO71"/>
    </row>
  </sheetData>
  <conditionalFormatting sqref="AB15:AB29">
    <cfRule type="duplicateValues" dxfId="7" priority="7"/>
  </conditionalFormatting>
  <conditionalFormatting sqref="B3:B21">
    <cfRule type="duplicateValues" dxfId="6" priority="6"/>
  </conditionalFormatting>
  <conditionalFormatting sqref="N3:N41">
    <cfRule type="duplicateValues" dxfId="5" priority="5"/>
  </conditionalFormatting>
  <conditionalFormatting sqref="AO3:AO33">
    <cfRule type="duplicateValues" dxfId="4" priority="4"/>
  </conditionalFormatting>
  <conditionalFormatting sqref="BC3:BC30">
    <cfRule type="duplicateValues" dxfId="3" priority="3"/>
  </conditionalFormatting>
  <conditionalFormatting sqref="N42:N43">
    <cfRule type="duplicateValues" dxfId="2" priority="2"/>
  </conditionalFormatting>
  <conditionalFormatting sqref="AO34:AO46">
    <cfRule type="duplicateValues" dxfId="1" priority="1"/>
  </conditionalFormatting>
  <conditionalFormatting sqref="BC31:BC48">
    <cfRule type="duplicateValues" dxfId="0" priority="8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B612C-4A0A-42EC-B6D1-7777892F2F0D}">
  <sheetPr>
    <tabColor rgb="FFFFFF00"/>
  </sheetPr>
  <dimension ref="A1:AW6675"/>
  <sheetViews>
    <sheetView topLeftCell="A1015" workbookViewId="0">
      <selection activeCell="C1040" sqref="C1040"/>
    </sheetView>
  </sheetViews>
  <sheetFormatPr defaultRowHeight="14.4" x14ac:dyDescent="0.3"/>
  <cols>
    <col min="1" max="1" width="11.21875" bestFit="1" customWidth="1"/>
    <col min="2" max="2" width="12.77734375" bestFit="1" customWidth="1"/>
    <col min="3" max="3" width="13" bestFit="1" customWidth="1"/>
    <col min="4" max="4" width="28.6640625" bestFit="1" customWidth="1"/>
    <col min="5" max="5" width="21.21875" style="89" bestFit="1" customWidth="1"/>
    <col min="6" max="6" width="14.77734375" bestFit="1" customWidth="1"/>
    <col min="7" max="7" width="13.77734375" bestFit="1" customWidth="1"/>
    <col min="10" max="10" width="16.77734375" bestFit="1" customWidth="1"/>
  </cols>
  <sheetData>
    <row r="1" spans="1:49" x14ac:dyDescent="0.3">
      <c r="A1" s="91" t="s">
        <v>1216</v>
      </c>
      <c r="B1" s="91" t="s">
        <v>1217</v>
      </c>
      <c r="C1" s="91" t="s">
        <v>957</v>
      </c>
      <c r="D1" s="91" t="s">
        <v>958</v>
      </c>
      <c r="E1" s="92" t="s">
        <v>959</v>
      </c>
      <c r="F1" s="91" t="s">
        <v>7</v>
      </c>
      <c r="G1" s="91" t="s">
        <v>960</v>
      </c>
      <c r="H1" s="88"/>
      <c r="I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</row>
    <row r="2" spans="1:49" x14ac:dyDescent="0.3">
      <c r="A2" t="s">
        <v>1218</v>
      </c>
      <c r="B2" t="s">
        <v>1219</v>
      </c>
      <c r="C2" t="s">
        <v>961</v>
      </c>
      <c r="D2" t="s">
        <v>962</v>
      </c>
      <c r="E2" s="89">
        <v>4.6748000000000003</v>
      </c>
      <c r="F2" s="90">
        <v>45413</v>
      </c>
      <c r="G2" s="90">
        <v>51501</v>
      </c>
    </row>
    <row r="3" spans="1:49" x14ac:dyDescent="0.3">
      <c r="A3" t="s">
        <v>1220</v>
      </c>
      <c r="B3" t="s">
        <v>1219</v>
      </c>
      <c r="C3" t="s">
        <v>961</v>
      </c>
      <c r="D3" t="s">
        <v>962</v>
      </c>
      <c r="E3" s="89">
        <v>6.9130000000000003</v>
      </c>
      <c r="F3" s="90">
        <v>45413</v>
      </c>
      <c r="G3" s="90">
        <v>51501</v>
      </c>
    </row>
    <row r="4" spans="1:49" x14ac:dyDescent="0.3">
      <c r="A4" t="s">
        <v>1218</v>
      </c>
      <c r="B4" t="s">
        <v>1219</v>
      </c>
      <c r="C4" t="s">
        <v>963</v>
      </c>
      <c r="D4" t="s">
        <v>962</v>
      </c>
      <c r="E4" s="89">
        <v>4.6748000000000003</v>
      </c>
      <c r="F4" s="90">
        <v>45413</v>
      </c>
      <c r="G4" s="90">
        <v>51501</v>
      </c>
    </row>
    <row r="5" spans="1:49" x14ac:dyDescent="0.3">
      <c r="A5" t="s">
        <v>1220</v>
      </c>
      <c r="B5" t="s">
        <v>1219</v>
      </c>
      <c r="C5" t="s">
        <v>963</v>
      </c>
      <c r="D5" t="s">
        <v>962</v>
      </c>
      <c r="E5" s="89">
        <v>4.6748000000000003</v>
      </c>
      <c r="F5" s="90">
        <v>45413</v>
      </c>
      <c r="G5" s="90">
        <v>51501</v>
      </c>
    </row>
    <row r="6" spans="1:49" x14ac:dyDescent="0.3">
      <c r="A6" t="s">
        <v>1218</v>
      </c>
      <c r="B6" t="s">
        <v>1219</v>
      </c>
      <c r="C6" t="s">
        <v>964</v>
      </c>
      <c r="D6" t="s">
        <v>965</v>
      </c>
      <c r="E6" s="89">
        <v>4.6123000000000003</v>
      </c>
      <c r="F6" s="90">
        <v>45413</v>
      </c>
      <c r="G6" s="90">
        <v>51501</v>
      </c>
    </row>
    <row r="7" spans="1:49" x14ac:dyDescent="0.3">
      <c r="A7" t="s">
        <v>1220</v>
      </c>
      <c r="B7" t="s">
        <v>1219</v>
      </c>
      <c r="C7" t="s">
        <v>964</v>
      </c>
      <c r="D7" t="s">
        <v>965</v>
      </c>
      <c r="E7" s="89">
        <v>6.8205999999999998</v>
      </c>
      <c r="F7" s="90">
        <v>45413</v>
      </c>
      <c r="G7" s="90">
        <v>51501</v>
      </c>
    </row>
    <row r="8" spans="1:49" x14ac:dyDescent="0.3">
      <c r="A8" t="s">
        <v>1218</v>
      </c>
      <c r="B8" t="s">
        <v>1219</v>
      </c>
      <c r="C8" t="s">
        <v>966</v>
      </c>
      <c r="D8" t="s">
        <v>965</v>
      </c>
      <c r="E8" s="89">
        <v>4.7481999999999998</v>
      </c>
      <c r="F8" s="90">
        <v>45413</v>
      </c>
      <c r="G8" s="90">
        <v>51501</v>
      </c>
    </row>
    <row r="9" spans="1:49" x14ac:dyDescent="0.3">
      <c r="A9" t="s">
        <v>1220</v>
      </c>
      <c r="B9" t="s">
        <v>1219</v>
      </c>
      <c r="C9" t="s">
        <v>966</v>
      </c>
      <c r="D9" t="s">
        <v>965</v>
      </c>
      <c r="E9" s="89">
        <v>4.7481999999999998</v>
      </c>
      <c r="F9" s="90">
        <v>45413</v>
      </c>
      <c r="G9" s="90">
        <v>51501</v>
      </c>
    </row>
    <row r="10" spans="1:49" x14ac:dyDescent="0.3">
      <c r="A10" t="s">
        <v>1218</v>
      </c>
      <c r="B10" t="s">
        <v>1219</v>
      </c>
      <c r="C10" t="s">
        <v>967</v>
      </c>
      <c r="D10" t="s">
        <v>968</v>
      </c>
      <c r="E10" s="89">
        <v>1.3614999999999999</v>
      </c>
      <c r="F10" s="90">
        <v>45413</v>
      </c>
      <c r="G10" s="90">
        <v>51501</v>
      </c>
    </row>
    <row r="11" spans="1:49" x14ac:dyDescent="0.3">
      <c r="A11" t="s">
        <v>1220</v>
      </c>
      <c r="B11" t="s">
        <v>1219</v>
      </c>
      <c r="C11" t="s">
        <v>967</v>
      </c>
      <c r="D11" t="s">
        <v>968</v>
      </c>
      <c r="E11" s="89">
        <v>2.0261</v>
      </c>
      <c r="F11" s="90">
        <v>45413</v>
      </c>
      <c r="G11" s="90">
        <v>51501</v>
      </c>
    </row>
    <row r="12" spans="1:49" x14ac:dyDescent="0.3">
      <c r="A12" t="s">
        <v>1218</v>
      </c>
      <c r="B12" t="s">
        <v>1219</v>
      </c>
      <c r="C12" t="s">
        <v>969</v>
      </c>
      <c r="D12" t="s">
        <v>968</v>
      </c>
      <c r="E12" s="89">
        <v>1.3614999999999999</v>
      </c>
      <c r="F12" s="90">
        <v>45413</v>
      </c>
      <c r="G12" s="90">
        <v>51501</v>
      </c>
    </row>
    <row r="13" spans="1:49" x14ac:dyDescent="0.3">
      <c r="A13" t="s">
        <v>1220</v>
      </c>
      <c r="B13" t="s">
        <v>1219</v>
      </c>
      <c r="C13" t="s">
        <v>969</v>
      </c>
      <c r="D13" t="s">
        <v>968</v>
      </c>
      <c r="E13" s="89">
        <v>1.3614999999999999</v>
      </c>
      <c r="F13" s="90">
        <v>45413</v>
      </c>
      <c r="G13" s="90">
        <v>51501</v>
      </c>
    </row>
    <row r="14" spans="1:49" x14ac:dyDescent="0.3">
      <c r="A14" t="s">
        <v>1218</v>
      </c>
      <c r="B14" t="s">
        <v>1219</v>
      </c>
      <c r="C14" t="s">
        <v>897</v>
      </c>
      <c r="D14" t="s">
        <v>898</v>
      </c>
      <c r="E14" s="89">
        <v>10.7027</v>
      </c>
      <c r="F14" s="90">
        <v>45413</v>
      </c>
      <c r="G14" s="90">
        <v>51501</v>
      </c>
    </row>
    <row r="15" spans="1:49" x14ac:dyDescent="0.3">
      <c r="A15" t="s">
        <v>1220</v>
      </c>
      <c r="B15" t="s">
        <v>1219</v>
      </c>
      <c r="C15" t="s">
        <v>897</v>
      </c>
      <c r="D15" t="s">
        <v>898</v>
      </c>
      <c r="E15" s="89">
        <v>15.827</v>
      </c>
      <c r="F15" s="90">
        <v>45413</v>
      </c>
      <c r="G15" s="90">
        <v>51501</v>
      </c>
    </row>
    <row r="16" spans="1:49" x14ac:dyDescent="0.3">
      <c r="A16" t="s">
        <v>1218</v>
      </c>
      <c r="B16" t="s">
        <v>1219</v>
      </c>
      <c r="C16" t="s">
        <v>970</v>
      </c>
      <c r="D16" t="s">
        <v>898</v>
      </c>
      <c r="E16" s="89">
        <v>10.7027</v>
      </c>
      <c r="F16" s="90">
        <v>45413</v>
      </c>
      <c r="G16" s="90">
        <v>51501</v>
      </c>
    </row>
    <row r="17" spans="1:7" x14ac:dyDescent="0.3">
      <c r="A17" t="s">
        <v>1220</v>
      </c>
      <c r="B17" t="s">
        <v>1219</v>
      </c>
      <c r="C17" t="s">
        <v>970</v>
      </c>
      <c r="D17" t="s">
        <v>898</v>
      </c>
      <c r="E17" s="89">
        <v>10.7027</v>
      </c>
      <c r="F17" s="90">
        <v>45413</v>
      </c>
      <c r="G17" s="90">
        <v>51501</v>
      </c>
    </row>
    <row r="18" spans="1:7" x14ac:dyDescent="0.3">
      <c r="A18" t="s">
        <v>1218</v>
      </c>
      <c r="B18" t="s">
        <v>1219</v>
      </c>
      <c r="C18" t="s">
        <v>971</v>
      </c>
      <c r="D18" t="s">
        <v>972</v>
      </c>
      <c r="E18" s="89">
        <v>6.7988999999999997</v>
      </c>
      <c r="F18" s="90">
        <v>45413</v>
      </c>
      <c r="G18" s="90">
        <v>51501</v>
      </c>
    </row>
    <row r="19" spans="1:7" x14ac:dyDescent="0.3">
      <c r="A19" t="s">
        <v>1220</v>
      </c>
      <c r="B19" t="s">
        <v>1219</v>
      </c>
      <c r="C19" t="s">
        <v>971</v>
      </c>
      <c r="D19" t="s">
        <v>972</v>
      </c>
      <c r="E19" s="89">
        <v>10.054</v>
      </c>
      <c r="F19" s="90">
        <v>45413</v>
      </c>
      <c r="G19" s="90">
        <v>51501</v>
      </c>
    </row>
    <row r="20" spans="1:7" x14ac:dyDescent="0.3">
      <c r="A20" t="s">
        <v>1218</v>
      </c>
      <c r="B20" t="s">
        <v>1219</v>
      </c>
      <c r="C20" t="s">
        <v>973</v>
      </c>
      <c r="D20" t="s">
        <v>972</v>
      </c>
      <c r="E20" s="89">
        <v>6.7988999999999997</v>
      </c>
      <c r="F20" s="90">
        <v>45413</v>
      </c>
      <c r="G20" s="90">
        <v>51501</v>
      </c>
    </row>
    <row r="21" spans="1:7" x14ac:dyDescent="0.3">
      <c r="A21" t="s">
        <v>1220</v>
      </c>
      <c r="B21" t="s">
        <v>1219</v>
      </c>
      <c r="C21" t="s">
        <v>973</v>
      </c>
      <c r="D21" t="s">
        <v>972</v>
      </c>
      <c r="E21" s="89">
        <v>6.7988999999999997</v>
      </c>
      <c r="F21" s="90">
        <v>45413</v>
      </c>
      <c r="G21" s="90">
        <v>51501</v>
      </c>
    </row>
    <row r="22" spans="1:7" x14ac:dyDescent="0.3">
      <c r="A22" t="s">
        <v>1218</v>
      </c>
      <c r="B22" t="s">
        <v>1219</v>
      </c>
      <c r="C22" t="s">
        <v>893</v>
      </c>
      <c r="D22" t="s">
        <v>894</v>
      </c>
      <c r="E22" s="89">
        <v>10.6402</v>
      </c>
      <c r="F22" s="90">
        <v>45413</v>
      </c>
      <c r="G22" s="90">
        <v>51501</v>
      </c>
    </row>
    <row r="23" spans="1:7" x14ac:dyDescent="0.3">
      <c r="A23" t="s">
        <v>1220</v>
      </c>
      <c r="B23" t="s">
        <v>1219</v>
      </c>
      <c r="C23" t="s">
        <v>893</v>
      </c>
      <c r="D23" t="s">
        <v>894</v>
      </c>
      <c r="E23" s="89">
        <v>15.7346</v>
      </c>
      <c r="F23" s="90">
        <v>45413</v>
      </c>
      <c r="G23" s="90">
        <v>51501</v>
      </c>
    </row>
    <row r="24" spans="1:7" x14ac:dyDescent="0.3">
      <c r="A24" t="s">
        <v>1218</v>
      </c>
      <c r="B24" t="s">
        <v>1219</v>
      </c>
      <c r="C24" t="s">
        <v>974</v>
      </c>
      <c r="D24" t="s">
        <v>894</v>
      </c>
      <c r="E24" s="89">
        <v>10.6402</v>
      </c>
      <c r="F24" s="90">
        <v>45413</v>
      </c>
      <c r="G24" s="90">
        <v>51501</v>
      </c>
    </row>
    <row r="25" spans="1:7" x14ac:dyDescent="0.3">
      <c r="A25" t="s">
        <v>1220</v>
      </c>
      <c r="B25" t="s">
        <v>1219</v>
      </c>
      <c r="C25" t="s">
        <v>974</v>
      </c>
      <c r="D25" t="s">
        <v>894</v>
      </c>
      <c r="E25" s="89">
        <v>10.6402</v>
      </c>
      <c r="F25" s="90">
        <v>45413</v>
      </c>
      <c r="G25" s="90">
        <v>51501</v>
      </c>
    </row>
    <row r="26" spans="1:7" x14ac:dyDescent="0.3">
      <c r="A26" t="s">
        <v>1218</v>
      </c>
      <c r="B26" t="s">
        <v>1219</v>
      </c>
      <c r="C26" t="s">
        <v>617</v>
      </c>
      <c r="D26" t="s">
        <v>618</v>
      </c>
      <c r="E26" s="89">
        <v>7.8954000000000004</v>
      </c>
      <c r="F26" s="90">
        <v>45413</v>
      </c>
      <c r="G26" s="90">
        <v>51501</v>
      </c>
    </row>
    <row r="27" spans="1:7" x14ac:dyDescent="0.3">
      <c r="A27" t="s">
        <v>1220</v>
      </c>
      <c r="B27" t="s">
        <v>1219</v>
      </c>
      <c r="C27" t="s">
        <v>617</v>
      </c>
      <c r="D27" t="s">
        <v>618</v>
      </c>
      <c r="E27" s="89">
        <v>11.675700000000001</v>
      </c>
      <c r="F27" s="90">
        <v>45413</v>
      </c>
      <c r="G27" s="90">
        <v>51501</v>
      </c>
    </row>
    <row r="28" spans="1:7" x14ac:dyDescent="0.3">
      <c r="A28" t="s">
        <v>1218</v>
      </c>
      <c r="B28" t="s">
        <v>1219</v>
      </c>
      <c r="C28" t="s">
        <v>975</v>
      </c>
      <c r="D28" t="s">
        <v>618</v>
      </c>
      <c r="E28" s="89">
        <v>7.8954000000000004</v>
      </c>
      <c r="F28" s="90">
        <v>45413</v>
      </c>
      <c r="G28" s="90">
        <v>51501</v>
      </c>
    </row>
    <row r="29" spans="1:7" x14ac:dyDescent="0.3">
      <c r="A29" t="s">
        <v>1220</v>
      </c>
      <c r="B29" t="s">
        <v>1219</v>
      </c>
      <c r="C29" t="s">
        <v>975</v>
      </c>
      <c r="D29" t="s">
        <v>618</v>
      </c>
      <c r="E29" s="89">
        <v>7.8954000000000004</v>
      </c>
      <c r="F29" s="90">
        <v>45413</v>
      </c>
      <c r="G29" s="90">
        <v>51501</v>
      </c>
    </row>
    <row r="30" spans="1:7" x14ac:dyDescent="0.3">
      <c r="A30" t="s">
        <v>1218</v>
      </c>
      <c r="B30" t="s">
        <v>1219</v>
      </c>
      <c r="C30" t="s">
        <v>976</v>
      </c>
      <c r="D30" t="s">
        <v>977</v>
      </c>
      <c r="E30" s="89">
        <v>8.1585999999999999</v>
      </c>
      <c r="F30" s="90">
        <v>45413</v>
      </c>
      <c r="G30" s="90">
        <v>51501</v>
      </c>
    </row>
    <row r="31" spans="1:7" x14ac:dyDescent="0.3">
      <c r="A31" t="s">
        <v>1220</v>
      </c>
      <c r="B31" t="s">
        <v>1219</v>
      </c>
      <c r="C31" t="s">
        <v>976</v>
      </c>
      <c r="D31" t="s">
        <v>977</v>
      </c>
      <c r="E31" s="89">
        <v>12.0649</v>
      </c>
      <c r="F31" s="90">
        <v>45413</v>
      </c>
      <c r="G31" s="90">
        <v>51501</v>
      </c>
    </row>
    <row r="32" spans="1:7" x14ac:dyDescent="0.3">
      <c r="A32" t="s">
        <v>1218</v>
      </c>
      <c r="B32" t="s">
        <v>1219</v>
      </c>
      <c r="C32" t="s">
        <v>978</v>
      </c>
      <c r="D32" t="s">
        <v>977</v>
      </c>
      <c r="E32" s="89">
        <v>8.1585999999999999</v>
      </c>
      <c r="F32" s="90">
        <v>45413</v>
      </c>
      <c r="G32" s="90">
        <v>51501</v>
      </c>
    </row>
    <row r="33" spans="1:7" x14ac:dyDescent="0.3">
      <c r="A33" t="s">
        <v>1220</v>
      </c>
      <c r="B33" t="s">
        <v>1219</v>
      </c>
      <c r="C33" t="s">
        <v>978</v>
      </c>
      <c r="D33" t="s">
        <v>977</v>
      </c>
      <c r="E33" s="89">
        <v>8.1585999999999999</v>
      </c>
      <c r="F33" s="90">
        <v>45413</v>
      </c>
      <c r="G33" s="90">
        <v>51501</v>
      </c>
    </row>
    <row r="34" spans="1:7" x14ac:dyDescent="0.3">
      <c r="A34" t="s">
        <v>1218</v>
      </c>
      <c r="B34" t="s">
        <v>1219</v>
      </c>
      <c r="C34" t="s">
        <v>979</v>
      </c>
      <c r="D34" t="s">
        <v>980</v>
      </c>
      <c r="E34" s="89">
        <v>8.4936000000000007</v>
      </c>
      <c r="F34" s="90">
        <v>45413</v>
      </c>
      <c r="G34" s="90">
        <v>51501</v>
      </c>
    </row>
    <row r="35" spans="1:7" x14ac:dyDescent="0.3">
      <c r="A35" t="s">
        <v>1220</v>
      </c>
      <c r="B35" t="s">
        <v>1219</v>
      </c>
      <c r="C35" t="s">
        <v>979</v>
      </c>
      <c r="D35" t="s">
        <v>980</v>
      </c>
      <c r="E35" s="89">
        <v>12.5602</v>
      </c>
      <c r="F35" s="90">
        <v>45413</v>
      </c>
      <c r="G35" s="90">
        <v>51501</v>
      </c>
    </row>
    <row r="36" spans="1:7" x14ac:dyDescent="0.3">
      <c r="A36" t="s">
        <v>1218</v>
      </c>
      <c r="B36" t="s">
        <v>1219</v>
      </c>
      <c r="C36" t="s">
        <v>981</v>
      </c>
      <c r="D36" t="s">
        <v>980</v>
      </c>
      <c r="E36" s="89">
        <v>8.4936000000000007</v>
      </c>
      <c r="F36" s="90">
        <v>45413</v>
      </c>
      <c r="G36" s="90">
        <v>51501</v>
      </c>
    </row>
    <row r="37" spans="1:7" x14ac:dyDescent="0.3">
      <c r="A37" t="s">
        <v>1220</v>
      </c>
      <c r="B37" t="s">
        <v>1219</v>
      </c>
      <c r="C37" t="s">
        <v>981</v>
      </c>
      <c r="D37" t="s">
        <v>980</v>
      </c>
      <c r="E37" s="89">
        <v>8.4936000000000007</v>
      </c>
      <c r="F37" s="90">
        <v>45413</v>
      </c>
      <c r="G37" s="90">
        <v>51501</v>
      </c>
    </row>
    <row r="38" spans="1:7" x14ac:dyDescent="0.3">
      <c r="A38" t="s">
        <v>1218</v>
      </c>
      <c r="B38" t="s">
        <v>1219</v>
      </c>
      <c r="C38" t="s">
        <v>895</v>
      </c>
      <c r="D38" t="s">
        <v>896</v>
      </c>
      <c r="E38" s="89">
        <v>11.443099999999999</v>
      </c>
      <c r="F38" s="90">
        <v>45413</v>
      </c>
      <c r="G38" s="90">
        <v>51501</v>
      </c>
    </row>
    <row r="39" spans="1:7" x14ac:dyDescent="0.3">
      <c r="A39" t="s">
        <v>1220</v>
      </c>
      <c r="B39" t="s">
        <v>1219</v>
      </c>
      <c r="C39" t="s">
        <v>895</v>
      </c>
      <c r="D39" t="s">
        <v>896</v>
      </c>
      <c r="E39" s="89">
        <v>16.921900000000001</v>
      </c>
      <c r="F39" s="90">
        <v>45413</v>
      </c>
      <c r="G39" s="90">
        <v>51501</v>
      </c>
    </row>
    <row r="40" spans="1:7" x14ac:dyDescent="0.3">
      <c r="A40" t="s">
        <v>1218</v>
      </c>
      <c r="B40" t="s">
        <v>1219</v>
      </c>
      <c r="C40" t="s">
        <v>982</v>
      </c>
      <c r="D40" t="s">
        <v>896</v>
      </c>
      <c r="E40" s="89">
        <v>11.443099999999999</v>
      </c>
      <c r="F40" s="90">
        <v>45413</v>
      </c>
      <c r="G40" s="90">
        <v>51501</v>
      </c>
    </row>
    <row r="41" spans="1:7" x14ac:dyDescent="0.3">
      <c r="A41" t="s">
        <v>1220</v>
      </c>
      <c r="B41" t="s">
        <v>1219</v>
      </c>
      <c r="C41" t="s">
        <v>982</v>
      </c>
      <c r="D41" t="s">
        <v>896</v>
      </c>
      <c r="E41" s="89">
        <v>11.443099999999999</v>
      </c>
      <c r="F41" s="90">
        <v>45413</v>
      </c>
      <c r="G41" s="90">
        <v>51501</v>
      </c>
    </row>
    <row r="42" spans="1:7" x14ac:dyDescent="0.3">
      <c r="A42" t="s">
        <v>1218</v>
      </c>
      <c r="B42" t="s">
        <v>1219</v>
      </c>
      <c r="C42" t="s">
        <v>983</v>
      </c>
      <c r="D42" t="s">
        <v>984</v>
      </c>
      <c r="E42" s="89">
        <v>10.101900000000001</v>
      </c>
      <c r="F42" s="90">
        <v>45413</v>
      </c>
      <c r="G42" s="90">
        <v>51501</v>
      </c>
    </row>
    <row r="43" spans="1:7" x14ac:dyDescent="0.3">
      <c r="A43" t="s">
        <v>1220</v>
      </c>
      <c r="B43" t="s">
        <v>1219</v>
      </c>
      <c r="C43" t="s">
        <v>983</v>
      </c>
      <c r="D43" t="s">
        <v>984</v>
      </c>
      <c r="E43" s="89">
        <v>14.938599999999999</v>
      </c>
      <c r="F43" s="90">
        <v>45413</v>
      </c>
      <c r="G43" s="90">
        <v>51501</v>
      </c>
    </row>
    <row r="44" spans="1:7" x14ac:dyDescent="0.3">
      <c r="A44" t="s">
        <v>1218</v>
      </c>
      <c r="B44" t="s">
        <v>1219</v>
      </c>
      <c r="C44" t="s">
        <v>985</v>
      </c>
      <c r="D44" t="s">
        <v>984</v>
      </c>
      <c r="E44" s="89">
        <v>10.101900000000001</v>
      </c>
      <c r="F44" s="90">
        <v>45413</v>
      </c>
      <c r="G44" s="90">
        <v>51501</v>
      </c>
    </row>
    <row r="45" spans="1:7" x14ac:dyDescent="0.3">
      <c r="A45" t="s">
        <v>1220</v>
      </c>
      <c r="B45" t="s">
        <v>1219</v>
      </c>
      <c r="C45" t="s">
        <v>985</v>
      </c>
      <c r="D45" t="s">
        <v>984</v>
      </c>
      <c r="E45" s="89">
        <v>10.101900000000001</v>
      </c>
      <c r="F45" s="90">
        <v>45413</v>
      </c>
      <c r="G45" s="90">
        <v>51501</v>
      </c>
    </row>
    <row r="46" spans="1:7" x14ac:dyDescent="0.3">
      <c r="A46" t="s">
        <v>1218</v>
      </c>
      <c r="B46" t="s">
        <v>1219</v>
      </c>
      <c r="C46" t="s">
        <v>629</v>
      </c>
      <c r="D46" t="s">
        <v>630</v>
      </c>
      <c r="E46" s="89">
        <v>8.7727000000000004</v>
      </c>
      <c r="F46" s="90">
        <v>45413</v>
      </c>
      <c r="G46" s="90">
        <v>51501</v>
      </c>
    </row>
    <row r="47" spans="1:7" x14ac:dyDescent="0.3">
      <c r="A47" t="s">
        <v>1220</v>
      </c>
      <c r="B47" t="s">
        <v>1219</v>
      </c>
      <c r="C47" t="s">
        <v>629</v>
      </c>
      <c r="D47" t="s">
        <v>630</v>
      </c>
      <c r="E47" s="89">
        <v>12.973000000000001</v>
      </c>
      <c r="F47" s="90">
        <v>45413</v>
      </c>
      <c r="G47" s="90">
        <v>51501</v>
      </c>
    </row>
    <row r="48" spans="1:7" x14ac:dyDescent="0.3">
      <c r="A48" t="s">
        <v>1218</v>
      </c>
      <c r="B48" t="s">
        <v>1219</v>
      </c>
      <c r="C48" t="s">
        <v>986</v>
      </c>
      <c r="D48" t="s">
        <v>630</v>
      </c>
      <c r="E48" s="89">
        <v>8.7727000000000004</v>
      </c>
      <c r="F48" s="90">
        <v>45413</v>
      </c>
      <c r="G48" s="90">
        <v>51501</v>
      </c>
    </row>
    <row r="49" spans="1:7" x14ac:dyDescent="0.3">
      <c r="A49" t="s">
        <v>1220</v>
      </c>
      <c r="B49" t="s">
        <v>1219</v>
      </c>
      <c r="C49" t="s">
        <v>986</v>
      </c>
      <c r="D49" t="s">
        <v>630</v>
      </c>
      <c r="E49" s="89">
        <v>8.7727000000000004</v>
      </c>
      <c r="F49" s="90">
        <v>45413</v>
      </c>
      <c r="G49" s="90">
        <v>51501</v>
      </c>
    </row>
    <row r="50" spans="1:7" x14ac:dyDescent="0.3">
      <c r="A50" t="s">
        <v>1218</v>
      </c>
      <c r="B50" t="s">
        <v>1219</v>
      </c>
      <c r="C50" t="s">
        <v>883</v>
      </c>
      <c r="D50" t="s">
        <v>884</v>
      </c>
      <c r="E50" s="89">
        <v>11.5002</v>
      </c>
      <c r="F50" s="90">
        <v>45413</v>
      </c>
      <c r="G50" s="90">
        <v>51501</v>
      </c>
    </row>
    <row r="51" spans="1:7" x14ac:dyDescent="0.3">
      <c r="A51" t="s">
        <v>1220</v>
      </c>
      <c r="B51" t="s">
        <v>1219</v>
      </c>
      <c r="C51" t="s">
        <v>883</v>
      </c>
      <c r="D51" t="s">
        <v>884</v>
      </c>
      <c r="E51" s="89">
        <v>17.006399999999999</v>
      </c>
      <c r="F51" s="90">
        <v>45413</v>
      </c>
      <c r="G51" s="90">
        <v>51501</v>
      </c>
    </row>
    <row r="52" spans="1:7" x14ac:dyDescent="0.3">
      <c r="A52" t="s">
        <v>1218</v>
      </c>
      <c r="B52" t="s">
        <v>1219</v>
      </c>
      <c r="C52" t="s">
        <v>987</v>
      </c>
      <c r="D52" t="s">
        <v>884</v>
      </c>
      <c r="E52" s="89">
        <v>11.5002</v>
      </c>
      <c r="F52" s="90">
        <v>45413</v>
      </c>
      <c r="G52" s="90">
        <v>51501</v>
      </c>
    </row>
    <row r="53" spans="1:7" x14ac:dyDescent="0.3">
      <c r="A53" t="s">
        <v>1220</v>
      </c>
      <c r="B53" t="s">
        <v>1219</v>
      </c>
      <c r="C53" t="s">
        <v>987</v>
      </c>
      <c r="D53" t="s">
        <v>884</v>
      </c>
      <c r="E53" s="89">
        <v>11.5002</v>
      </c>
      <c r="F53" s="90">
        <v>45413</v>
      </c>
      <c r="G53" s="90">
        <v>51501</v>
      </c>
    </row>
    <row r="54" spans="1:7" x14ac:dyDescent="0.3">
      <c r="A54" t="s">
        <v>1218</v>
      </c>
      <c r="B54" t="s">
        <v>1219</v>
      </c>
      <c r="C54" t="s">
        <v>875</v>
      </c>
      <c r="D54" t="s">
        <v>876</v>
      </c>
      <c r="E54" s="89">
        <v>0.4325</v>
      </c>
      <c r="F54" s="90">
        <v>45413</v>
      </c>
      <c r="G54" s="90">
        <v>51501</v>
      </c>
    </row>
    <row r="55" spans="1:7" x14ac:dyDescent="0.3">
      <c r="A55" t="s">
        <v>1220</v>
      </c>
      <c r="B55" t="s">
        <v>1219</v>
      </c>
      <c r="C55" t="s">
        <v>875</v>
      </c>
      <c r="D55" t="s">
        <v>876</v>
      </c>
      <c r="E55" s="89">
        <v>0.64359999999999995</v>
      </c>
      <c r="F55" s="90">
        <v>45413</v>
      </c>
      <c r="G55" s="90">
        <v>51501</v>
      </c>
    </row>
    <row r="56" spans="1:7" x14ac:dyDescent="0.3">
      <c r="A56" t="s">
        <v>1218</v>
      </c>
      <c r="B56" t="s">
        <v>1219</v>
      </c>
      <c r="C56" t="s">
        <v>988</v>
      </c>
      <c r="D56" t="s">
        <v>876</v>
      </c>
      <c r="E56" s="89">
        <v>0.4325</v>
      </c>
      <c r="F56" s="90">
        <v>45413</v>
      </c>
      <c r="G56" s="90">
        <v>51501</v>
      </c>
    </row>
    <row r="57" spans="1:7" x14ac:dyDescent="0.3">
      <c r="A57" t="s">
        <v>1220</v>
      </c>
      <c r="B57" t="s">
        <v>1219</v>
      </c>
      <c r="C57" t="s">
        <v>988</v>
      </c>
      <c r="D57" t="s">
        <v>876</v>
      </c>
      <c r="E57" s="89">
        <v>0.4325</v>
      </c>
      <c r="F57" s="90">
        <v>45413</v>
      </c>
      <c r="G57" s="90">
        <v>51501</v>
      </c>
    </row>
    <row r="58" spans="1:7" x14ac:dyDescent="0.3">
      <c r="A58" t="s">
        <v>1218</v>
      </c>
      <c r="B58" t="s">
        <v>1219</v>
      </c>
      <c r="C58" t="s">
        <v>899</v>
      </c>
      <c r="D58" t="s">
        <v>900</v>
      </c>
      <c r="E58" s="89">
        <v>5.5134999999999996</v>
      </c>
      <c r="F58" s="90">
        <v>45413</v>
      </c>
      <c r="G58" s="90">
        <v>51501</v>
      </c>
    </row>
    <row r="59" spans="1:7" x14ac:dyDescent="0.3">
      <c r="A59" t="s">
        <v>1220</v>
      </c>
      <c r="B59" t="s">
        <v>1219</v>
      </c>
      <c r="C59" t="s">
        <v>899</v>
      </c>
      <c r="D59" t="s">
        <v>900</v>
      </c>
      <c r="E59" s="89">
        <v>8.1532999999999998</v>
      </c>
      <c r="F59" s="90">
        <v>45413</v>
      </c>
      <c r="G59" s="90">
        <v>51501</v>
      </c>
    </row>
    <row r="60" spans="1:7" x14ac:dyDescent="0.3">
      <c r="A60" t="s">
        <v>1218</v>
      </c>
      <c r="B60" t="s">
        <v>1219</v>
      </c>
      <c r="C60" t="s">
        <v>989</v>
      </c>
      <c r="D60" t="s">
        <v>900</v>
      </c>
      <c r="E60" s="89">
        <v>5.5134999999999996</v>
      </c>
      <c r="F60" s="90">
        <v>45413</v>
      </c>
      <c r="G60" s="90">
        <v>51501</v>
      </c>
    </row>
    <row r="61" spans="1:7" x14ac:dyDescent="0.3">
      <c r="A61" t="s">
        <v>1220</v>
      </c>
      <c r="B61" t="s">
        <v>1219</v>
      </c>
      <c r="C61" t="s">
        <v>989</v>
      </c>
      <c r="D61" t="s">
        <v>900</v>
      </c>
      <c r="E61" s="89">
        <v>5.5134999999999996</v>
      </c>
      <c r="F61" s="90">
        <v>45413</v>
      </c>
      <c r="G61" s="90">
        <v>51501</v>
      </c>
    </row>
    <row r="62" spans="1:7" x14ac:dyDescent="0.3">
      <c r="A62" t="s">
        <v>1218</v>
      </c>
      <c r="B62" t="s">
        <v>1219</v>
      </c>
      <c r="C62" t="s">
        <v>404</v>
      </c>
      <c r="D62" t="s">
        <v>405</v>
      </c>
      <c r="E62" s="89">
        <v>1.5228999999999999</v>
      </c>
      <c r="F62" s="90">
        <v>45413</v>
      </c>
      <c r="G62" s="90">
        <v>51501</v>
      </c>
    </row>
    <row r="63" spans="1:7" x14ac:dyDescent="0.3">
      <c r="A63" t="s">
        <v>1220</v>
      </c>
      <c r="B63" t="s">
        <v>1219</v>
      </c>
      <c r="C63" t="s">
        <v>404</v>
      </c>
      <c r="D63" t="s">
        <v>405</v>
      </c>
      <c r="E63" s="89">
        <v>2.2663000000000002</v>
      </c>
      <c r="F63" s="90">
        <v>45413</v>
      </c>
      <c r="G63" s="90">
        <v>51501</v>
      </c>
    </row>
    <row r="64" spans="1:7" x14ac:dyDescent="0.3">
      <c r="A64" t="s">
        <v>1218</v>
      </c>
      <c r="B64" t="s">
        <v>1219</v>
      </c>
      <c r="C64" t="s">
        <v>990</v>
      </c>
      <c r="D64" t="s">
        <v>405</v>
      </c>
      <c r="E64" s="89">
        <v>1.5228999999999999</v>
      </c>
      <c r="F64" s="90">
        <v>45413</v>
      </c>
      <c r="G64" s="90">
        <v>51501</v>
      </c>
    </row>
    <row r="65" spans="1:7" x14ac:dyDescent="0.3">
      <c r="A65" t="s">
        <v>1220</v>
      </c>
      <c r="B65" t="s">
        <v>1219</v>
      </c>
      <c r="C65" t="s">
        <v>990</v>
      </c>
      <c r="D65" t="s">
        <v>405</v>
      </c>
      <c r="E65" s="89">
        <v>1.5228999999999999</v>
      </c>
      <c r="F65" s="90">
        <v>45413</v>
      </c>
      <c r="G65" s="90">
        <v>51501</v>
      </c>
    </row>
    <row r="66" spans="1:7" x14ac:dyDescent="0.3">
      <c r="A66" t="s">
        <v>1218</v>
      </c>
      <c r="B66" t="s">
        <v>1219</v>
      </c>
      <c r="C66" t="s">
        <v>901</v>
      </c>
      <c r="D66" t="s">
        <v>902</v>
      </c>
      <c r="E66" s="89">
        <v>5.4763000000000002</v>
      </c>
      <c r="F66" s="90">
        <v>45413</v>
      </c>
      <c r="G66" s="90">
        <v>51501</v>
      </c>
    </row>
    <row r="67" spans="1:7" x14ac:dyDescent="0.3">
      <c r="A67" t="s">
        <v>1220</v>
      </c>
      <c r="B67" t="s">
        <v>1219</v>
      </c>
      <c r="C67" t="s">
        <v>901</v>
      </c>
      <c r="D67" t="s">
        <v>902</v>
      </c>
      <c r="E67" s="89">
        <v>8.0983000000000001</v>
      </c>
      <c r="F67" s="90">
        <v>45413</v>
      </c>
      <c r="G67" s="90">
        <v>51501</v>
      </c>
    </row>
    <row r="68" spans="1:7" x14ac:dyDescent="0.3">
      <c r="A68" t="s">
        <v>1218</v>
      </c>
      <c r="B68" t="s">
        <v>1219</v>
      </c>
      <c r="C68" t="s">
        <v>991</v>
      </c>
      <c r="D68" t="s">
        <v>902</v>
      </c>
      <c r="E68" s="89">
        <v>5.4763000000000002</v>
      </c>
      <c r="F68" s="90">
        <v>45413</v>
      </c>
      <c r="G68" s="90">
        <v>51501</v>
      </c>
    </row>
    <row r="69" spans="1:7" x14ac:dyDescent="0.3">
      <c r="A69" t="s">
        <v>1220</v>
      </c>
      <c r="B69" t="s">
        <v>1219</v>
      </c>
      <c r="C69" t="s">
        <v>991</v>
      </c>
      <c r="D69" t="s">
        <v>902</v>
      </c>
      <c r="E69" s="89">
        <v>5.4763000000000002</v>
      </c>
      <c r="F69" s="90">
        <v>45413</v>
      </c>
      <c r="G69" s="90">
        <v>51501</v>
      </c>
    </row>
    <row r="70" spans="1:7" x14ac:dyDescent="0.3">
      <c r="A70" t="s">
        <v>1218</v>
      </c>
      <c r="B70" t="s">
        <v>1219</v>
      </c>
      <c r="C70" t="s">
        <v>416</v>
      </c>
      <c r="D70" t="s">
        <v>417</v>
      </c>
      <c r="E70" s="89">
        <v>1.6258999999999999</v>
      </c>
      <c r="F70" s="90">
        <v>45413</v>
      </c>
      <c r="G70" s="90">
        <v>51501</v>
      </c>
    </row>
    <row r="71" spans="1:7" x14ac:dyDescent="0.3">
      <c r="A71" t="s">
        <v>1220</v>
      </c>
      <c r="B71" t="s">
        <v>1219</v>
      </c>
      <c r="C71" t="s">
        <v>416</v>
      </c>
      <c r="D71" t="s">
        <v>417</v>
      </c>
      <c r="E71" s="89">
        <v>2.4074</v>
      </c>
      <c r="F71" s="90">
        <v>45413</v>
      </c>
      <c r="G71" s="90">
        <v>51501</v>
      </c>
    </row>
    <row r="72" spans="1:7" x14ac:dyDescent="0.3">
      <c r="A72" t="s">
        <v>1218</v>
      </c>
      <c r="B72" t="s">
        <v>1219</v>
      </c>
      <c r="C72" t="s">
        <v>992</v>
      </c>
      <c r="D72" t="s">
        <v>417</v>
      </c>
      <c r="E72" s="89">
        <v>1.6258999999999999</v>
      </c>
      <c r="F72" s="90">
        <v>45413</v>
      </c>
      <c r="G72" s="90">
        <v>51501</v>
      </c>
    </row>
    <row r="73" spans="1:7" x14ac:dyDescent="0.3">
      <c r="A73" t="s">
        <v>1220</v>
      </c>
      <c r="B73" t="s">
        <v>1219</v>
      </c>
      <c r="C73" t="s">
        <v>992</v>
      </c>
      <c r="D73" t="s">
        <v>417</v>
      </c>
      <c r="E73" s="89">
        <v>1.6258999999999999</v>
      </c>
      <c r="F73" s="90">
        <v>45413</v>
      </c>
      <c r="G73" s="90">
        <v>51501</v>
      </c>
    </row>
    <row r="74" spans="1:7" x14ac:dyDescent="0.3">
      <c r="A74" t="s">
        <v>1218</v>
      </c>
      <c r="B74" t="s">
        <v>1219</v>
      </c>
      <c r="C74" t="s">
        <v>599</v>
      </c>
      <c r="D74" t="s">
        <v>600</v>
      </c>
      <c r="E74" s="89">
        <v>5.2636000000000003</v>
      </c>
      <c r="F74" s="90">
        <v>45413</v>
      </c>
      <c r="G74" s="90">
        <v>51501</v>
      </c>
    </row>
    <row r="75" spans="1:7" x14ac:dyDescent="0.3">
      <c r="A75" t="s">
        <v>1220</v>
      </c>
      <c r="B75" t="s">
        <v>1219</v>
      </c>
      <c r="C75" t="s">
        <v>599</v>
      </c>
      <c r="D75" t="s">
        <v>600</v>
      </c>
      <c r="E75" s="89">
        <v>7.7838000000000003</v>
      </c>
      <c r="F75" s="90">
        <v>45413</v>
      </c>
      <c r="G75" s="90">
        <v>51501</v>
      </c>
    </row>
    <row r="76" spans="1:7" x14ac:dyDescent="0.3">
      <c r="A76" t="s">
        <v>1218</v>
      </c>
      <c r="B76" t="s">
        <v>1219</v>
      </c>
      <c r="C76" t="s">
        <v>993</v>
      </c>
      <c r="D76" t="s">
        <v>600</v>
      </c>
      <c r="E76" s="89">
        <v>5.2636000000000003</v>
      </c>
      <c r="F76" s="90">
        <v>45413</v>
      </c>
      <c r="G76" s="90">
        <v>51501</v>
      </c>
    </row>
    <row r="77" spans="1:7" x14ac:dyDescent="0.3">
      <c r="A77" t="s">
        <v>1220</v>
      </c>
      <c r="B77" t="s">
        <v>1219</v>
      </c>
      <c r="C77" t="s">
        <v>993</v>
      </c>
      <c r="D77" t="s">
        <v>600</v>
      </c>
      <c r="E77" s="89">
        <v>5.2636000000000003</v>
      </c>
      <c r="F77" s="90">
        <v>45413</v>
      </c>
      <c r="G77" s="90">
        <v>51501</v>
      </c>
    </row>
    <row r="78" spans="1:7" x14ac:dyDescent="0.3">
      <c r="A78" t="s">
        <v>1218</v>
      </c>
      <c r="B78" t="s">
        <v>1219</v>
      </c>
      <c r="C78" t="s">
        <v>605</v>
      </c>
      <c r="D78" t="s">
        <v>606</v>
      </c>
      <c r="E78" s="89">
        <v>5.4390999999999998</v>
      </c>
      <c r="F78" s="90">
        <v>45413</v>
      </c>
      <c r="G78" s="90">
        <v>51501</v>
      </c>
    </row>
    <row r="79" spans="1:7" x14ac:dyDescent="0.3">
      <c r="A79" t="s">
        <v>1220</v>
      </c>
      <c r="B79" t="s">
        <v>1219</v>
      </c>
      <c r="C79" t="s">
        <v>605</v>
      </c>
      <c r="D79" t="s">
        <v>606</v>
      </c>
      <c r="E79" s="89">
        <v>8.0432000000000006</v>
      </c>
      <c r="F79" s="90">
        <v>45413</v>
      </c>
      <c r="G79" s="90">
        <v>51501</v>
      </c>
    </row>
    <row r="80" spans="1:7" x14ac:dyDescent="0.3">
      <c r="A80" t="s">
        <v>1218</v>
      </c>
      <c r="B80" t="s">
        <v>1219</v>
      </c>
      <c r="C80" t="s">
        <v>994</v>
      </c>
      <c r="D80" t="s">
        <v>606</v>
      </c>
      <c r="E80" s="89">
        <v>5.4390999999999998</v>
      </c>
      <c r="F80" s="90">
        <v>45413</v>
      </c>
      <c r="G80" s="90">
        <v>51501</v>
      </c>
    </row>
    <row r="81" spans="1:7" x14ac:dyDescent="0.3">
      <c r="A81" t="s">
        <v>1220</v>
      </c>
      <c r="B81" t="s">
        <v>1219</v>
      </c>
      <c r="C81" t="s">
        <v>994</v>
      </c>
      <c r="D81" t="s">
        <v>606</v>
      </c>
      <c r="E81" s="89">
        <v>5.4390999999999998</v>
      </c>
      <c r="F81" s="90">
        <v>45413</v>
      </c>
      <c r="G81" s="90">
        <v>51501</v>
      </c>
    </row>
    <row r="82" spans="1:7" x14ac:dyDescent="0.3">
      <c r="A82" t="s">
        <v>1218</v>
      </c>
      <c r="B82" t="s">
        <v>1219</v>
      </c>
      <c r="C82" t="s">
        <v>611</v>
      </c>
      <c r="D82" t="s">
        <v>612</v>
      </c>
      <c r="E82" s="89">
        <v>5.6623999999999999</v>
      </c>
      <c r="F82" s="90">
        <v>45413</v>
      </c>
      <c r="G82" s="90">
        <v>51501</v>
      </c>
    </row>
    <row r="83" spans="1:7" x14ac:dyDescent="0.3">
      <c r="A83" t="s">
        <v>1220</v>
      </c>
      <c r="B83" t="s">
        <v>1219</v>
      </c>
      <c r="C83" t="s">
        <v>611</v>
      </c>
      <c r="D83" t="s">
        <v>612</v>
      </c>
      <c r="E83" s="89">
        <v>8.3734999999999999</v>
      </c>
      <c r="F83" s="90">
        <v>45413</v>
      </c>
      <c r="G83" s="90">
        <v>51501</v>
      </c>
    </row>
    <row r="84" spans="1:7" x14ac:dyDescent="0.3">
      <c r="A84" t="s">
        <v>1218</v>
      </c>
      <c r="B84" t="s">
        <v>1219</v>
      </c>
      <c r="C84" t="s">
        <v>995</v>
      </c>
      <c r="D84" t="s">
        <v>612</v>
      </c>
      <c r="E84" s="89">
        <v>5.6623999999999999</v>
      </c>
      <c r="F84" s="90">
        <v>45413</v>
      </c>
      <c r="G84" s="90">
        <v>51501</v>
      </c>
    </row>
    <row r="85" spans="1:7" x14ac:dyDescent="0.3">
      <c r="A85" t="s">
        <v>1220</v>
      </c>
      <c r="B85" t="s">
        <v>1219</v>
      </c>
      <c r="C85" t="s">
        <v>995</v>
      </c>
      <c r="D85" t="s">
        <v>612</v>
      </c>
      <c r="E85" s="89">
        <v>5.6623999999999999</v>
      </c>
      <c r="F85" s="90">
        <v>45413</v>
      </c>
      <c r="G85" s="90">
        <v>51501</v>
      </c>
    </row>
    <row r="86" spans="1:7" x14ac:dyDescent="0.3">
      <c r="A86" t="s">
        <v>1218</v>
      </c>
      <c r="B86" t="s">
        <v>1219</v>
      </c>
      <c r="C86" t="s">
        <v>623</v>
      </c>
      <c r="D86" t="s">
        <v>624</v>
      </c>
      <c r="E86" s="89">
        <v>7.9752000000000001</v>
      </c>
      <c r="F86" s="90">
        <v>45413</v>
      </c>
      <c r="G86" s="90">
        <v>51501</v>
      </c>
    </row>
    <row r="87" spans="1:7" x14ac:dyDescent="0.3">
      <c r="A87" t="s">
        <v>1220</v>
      </c>
      <c r="B87" t="s">
        <v>1219</v>
      </c>
      <c r="C87" t="s">
        <v>623</v>
      </c>
      <c r="D87" t="s">
        <v>624</v>
      </c>
      <c r="E87" s="89">
        <v>11.7936</v>
      </c>
      <c r="F87" s="90">
        <v>45413</v>
      </c>
      <c r="G87" s="90">
        <v>51501</v>
      </c>
    </row>
    <row r="88" spans="1:7" x14ac:dyDescent="0.3">
      <c r="A88" t="s">
        <v>1218</v>
      </c>
      <c r="B88" t="s">
        <v>1219</v>
      </c>
      <c r="C88" t="s">
        <v>996</v>
      </c>
      <c r="D88" t="s">
        <v>624</v>
      </c>
      <c r="E88" s="89">
        <v>7.9752000000000001</v>
      </c>
      <c r="F88" s="90">
        <v>45413</v>
      </c>
      <c r="G88" s="90">
        <v>51501</v>
      </c>
    </row>
    <row r="89" spans="1:7" x14ac:dyDescent="0.3">
      <c r="A89" t="s">
        <v>1220</v>
      </c>
      <c r="B89" t="s">
        <v>1219</v>
      </c>
      <c r="C89" t="s">
        <v>996</v>
      </c>
      <c r="D89" t="s">
        <v>624</v>
      </c>
      <c r="E89" s="89">
        <v>7.9752000000000001</v>
      </c>
      <c r="F89" s="90">
        <v>45413</v>
      </c>
      <c r="G89" s="90">
        <v>51501</v>
      </c>
    </row>
    <row r="90" spans="1:7" x14ac:dyDescent="0.3">
      <c r="A90" t="s">
        <v>1218</v>
      </c>
      <c r="B90" t="s">
        <v>1219</v>
      </c>
      <c r="C90" t="s">
        <v>426</v>
      </c>
      <c r="D90" t="s">
        <v>427</v>
      </c>
      <c r="E90" s="89">
        <v>2.0615999999999999</v>
      </c>
      <c r="F90" s="90">
        <v>45413</v>
      </c>
      <c r="G90" s="90">
        <v>51501</v>
      </c>
    </row>
    <row r="91" spans="1:7" x14ac:dyDescent="0.3">
      <c r="A91" t="s">
        <v>1220</v>
      </c>
      <c r="B91" t="s">
        <v>1219</v>
      </c>
      <c r="C91" t="s">
        <v>426</v>
      </c>
      <c r="D91" t="s">
        <v>427</v>
      </c>
      <c r="E91" s="89">
        <v>3.0525000000000002</v>
      </c>
      <c r="F91" s="90">
        <v>45413</v>
      </c>
      <c r="G91" s="90">
        <v>51501</v>
      </c>
    </row>
    <row r="92" spans="1:7" x14ac:dyDescent="0.3">
      <c r="A92" t="s">
        <v>1218</v>
      </c>
      <c r="B92" t="s">
        <v>1219</v>
      </c>
      <c r="C92" t="s">
        <v>997</v>
      </c>
      <c r="D92" t="s">
        <v>427</v>
      </c>
      <c r="E92" s="89">
        <v>2.0615999999999999</v>
      </c>
      <c r="F92" s="90">
        <v>45413</v>
      </c>
      <c r="G92" s="90">
        <v>51501</v>
      </c>
    </row>
    <row r="93" spans="1:7" x14ac:dyDescent="0.3">
      <c r="A93" t="s">
        <v>1220</v>
      </c>
      <c r="B93" t="s">
        <v>1219</v>
      </c>
      <c r="C93" t="s">
        <v>997</v>
      </c>
      <c r="D93" t="s">
        <v>427</v>
      </c>
      <c r="E93" s="89">
        <v>2.0615999999999999</v>
      </c>
      <c r="F93" s="90">
        <v>45413</v>
      </c>
      <c r="G93" s="90">
        <v>51501</v>
      </c>
    </row>
    <row r="94" spans="1:7" x14ac:dyDescent="0.3">
      <c r="A94" t="s">
        <v>1218</v>
      </c>
      <c r="B94" t="s">
        <v>1219</v>
      </c>
      <c r="C94" t="s">
        <v>436</v>
      </c>
      <c r="D94" t="s">
        <v>437</v>
      </c>
      <c r="E94" s="89">
        <v>0.30459999999999998</v>
      </c>
      <c r="F94" s="90">
        <v>45413</v>
      </c>
      <c r="G94" s="90">
        <v>51501</v>
      </c>
    </row>
    <row r="95" spans="1:7" x14ac:dyDescent="0.3">
      <c r="A95" t="s">
        <v>1220</v>
      </c>
      <c r="B95" t="s">
        <v>1219</v>
      </c>
      <c r="C95" t="s">
        <v>436</v>
      </c>
      <c r="D95" t="s">
        <v>437</v>
      </c>
      <c r="E95" s="89">
        <v>0.45329999999999998</v>
      </c>
      <c r="F95" s="90">
        <v>45413</v>
      </c>
      <c r="G95" s="90">
        <v>51501</v>
      </c>
    </row>
    <row r="96" spans="1:7" x14ac:dyDescent="0.3">
      <c r="A96" t="s">
        <v>1218</v>
      </c>
      <c r="B96" t="s">
        <v>1219</v>
      </c>
      <c r="C96" t="s">
        <v>998</v>
      </c>
      <c r="D96" t="s">
        <v>437</v>
      </c>
      <c r="E96" s="89">
        <v>0.30459999999999998</v>
      </c>
      <c r="F96" s="90">
        <v>45413</v>
      </c>
      <c r="G96" s="90">
        <v>51501</v>
      </c>
    </row>
    <row r="97" spans="1:7" x14ac:dyDescent="0.3">
      <c r="A97" t="s">
        <v>1220</v>
      </c>
      <c r="B97" t="s">
        <v>1219</v>
      </c>
      <c r="C97" t="s">
        <v>998</v>
      </c>
      <c r="D97" t="s">
        <v>437</v>
      </c>
      <c r="E97" s="89">
        <v>0.30459999999999998</v>
      </c>
      <c r="F97" s="90">
        <v>45413</v>
      </c>
      <c r="G97" s="90">
        <v>51501</v>
      </c>
    </row>
    <row r="98" spans="1:7" x14ac:dyDescent="0.3">
      <c r="A98" t="s">
        <v>1218</v>
      </c>
      <c r="B98" t="s">
        <v>1219</v>
      </c>
      <c r="C98" t="s">
        <v>446</v>
      </c>
      <c r="D98" t="s">
        <v>447</v>
      </c>
      <c r="E98" s="89">
        <v>2.7488000000000001</v>
      </c>
      <c r="F98" s="90">
        <v>45413</v>
      </c>
      <c r="G98" s="90">
        <v>51501</v>
      </c>
    </row>
    <row r="99" spans="1:7" x14ac:dyDescent="0.3">
      <c r="A99" t="s">
        <v>1220</v>
      </c>
      <c r="B99" t="s">
        <v>1219</v>
      </c>
      <c r="C99" t="s">
        <v>446</v>
      </c>
      <c r="D99" t="s">
        <v>447</v>
      </c>
      <c r="E99" s="89">
        <v>4.07</v>
      </c>
      <c r="F99" s="90">
        <v>45413</v>
      </c>
      <c r="G99" s="90">
        <v>51501</v>
      </c>
    </row>
    <row r="100" spans="1:7" x14ac:dyDescent="0.3">
      <c r="A100" t="s">
        <v>1218</v>
      </c>
      <c r="B100" t="s">
        <v>1219</v>
      </c>
      <c r="C100" t="s">
        <v>999</v>
      </c>
      <c r="D100" t="s">
        <v>447</v>
      </c>
      <c r="E100" s="89">
        <v>2.7488000000000001</v>
      </c>
      <c r="F100" s="90">
        <v>45413</v>
      </c>
      <c r="G100" s="90">
        <v>51501</v>
      </c>
    </row>
    <row r="101" spans="1:7" x14ac:dyDescent="0.3">
      <c r="A101" t="s">
        <v>1220</v>
      </c>
      <c r="B101" t="s">
        <v>1219</v>
      </c>
      <c r="C101" t="s">
        <v>999</v>
      </c>
      <c r="D101" t="s">
        <v>447</v>
      </c>
      <c r="E101" s="89">
        <v>2.7488000000000001</v>
      </c>
      <c r="F101" s="90">
        <v>45413</v>
      </c>
      <c r="G101" s="90">
        <v>51501</v>
      </c>
    </row>
    <row r="102" spans="1:7" x14ac:dyDescent="0.3">
      <c r="A102" t="s">
        <v>1218</v>
      </c>
      <c r="B102" t="s">
        <v>1219</v>
      </c>
      <c r="C102" t="s">
        <v>456</v>
      </c>
      <c r="D102" t="s">
        <v>457</v>
      </c>
      <c r="E102" s="89">
        <v>0.31519999999999998</v>
      </c>
      <c r="F102" s="90">
        <v>45413</v>
      </c>
      <c r="G102" s="90">
        <v>51501</v>
      </c>
    </row>
    <row r="103" spans="1:7" x14ac:dyDescent="0.3">
      <c r="A103" t="s">
        <v>1220</v>
      </c>
      <c r="B103" t="s">
        <v>1219</v>
      </c>
      <c r="C103" t="s">
        <v>456</v>
      </c>
      <c r="D103" t="s">
        <v>457</v>
      </c>
      <c r="E103" s="89">
        <v>0.46910000000000002</v>
      </c>
      <c r="F103" s="90">
        <v>45413</v>
      </c>
      <c r="G103" s="90">
        <v>51501</v>
      </c>
    </row>
    <row r="104" spans="1:7" x14ac:dyDescent="0.3">
      <c r="A104" t="s">
        <v>1218</v>
      </c>
      <c r="B104" t="s">
        <v>1219</v>
      </c>
      <c r="C104" t="s">
        <v>1000</v>
      </c>
      <c r="D104" t="s">
        <v>457</v>
      </c>
      <c r="E104" s="89">
        <v>0.31519999999999998</v>
      </c>
      <c r="F104" s="90">
        <v>45413</v>
      </c>
      <c r="G104" s="90">
        <v>51501</v>
      </c>
    </row>
    <row r="105" spans="1:7" x14ac:dyDescent="0.3">
      <c r="A105" t="s">
        <v>1220</v>
      </c>
      <c r="B105" t="s">
        <v>1219</v>
      </c>
      <c r="C105" t="s">
        <v>1000</v>
      </c>
      <c r="D105" t="s">
        <v>457</v>
      </c>
      <c r="E105" s="89">
        <v>0.31519999999999998</v>
      </c>
      <c r="F105" s="90">
        <v>45413</v>
      </c>
      <c r="G105" s="90">
        <v>51501</v>
      </c>
    </row>
    <row r="106" spans="1:7" x14ac:dyDescent="0.3">
      <c r="A106" t="s">
        <v>1218</v>
      </c>
      <c r="B106" t="s">
        <v>1219</v>
      </c>
      <c r="C106" t="s">
        <v>891</v>
      </c>
      <c r="D106" t="s">
        <v>892</v>
      </c>
      <c r="E106" s="89">
        <v>11.250299999999999</v>
      </c>
      <c r="F106" s="90">
        <v>45413</v>
      </c>
      <c r="G106" s="90">
        <v>51501</v>
      </c>
    </row>
    <row r="107" spans="1:7" x14ac:dyDescent="0.3">
      <c r="A107" t="s">
        <v>1220</v>
      </c>
      <c r="B107" t="s">
        <v>1219</v>
      </c>
      <c r="C107" t="s">
        <v>891</v>
      </c>
      <c r="D107" t="s">
        <v>892</v>
      </c>
      <c r="E107" s="89">
        <v>16.636800000000001</v>
      </c>
      <c r="F107" s="90">
        <v>45413</v>
      </c>
      <c r="G107" s="90">
        <v>51501</v>
      </c>
    </row>
    <row r="108" spans="1:7" x14ac:dyDescent="0.3">
      <c r="A108" t="s">
        <v>1218</v>
      </c>
      <c r="B108" t="s">
        <v>1219</v>
      </c>
      <c r="C108" t="s">
        <v>1001</v>
      </c>
      <c r="D108" t="s">
        <v>892</v>
      </c>
      <c r="E108" s="89">
        <v>11.250299999999999</v>
      </c>
      <c r="F108" s="90">
        <v>45413</v>
      </c>
      <c r="G108" s="90">
        <v>51501</v>
      </c>
    </row>
    <row r="109" spans="1:7" x14ac:dyDescent="0.3">
      <c r="A109" t="s">
        <v>1220</v>
      </c>
      <c r="B109" t="s">
        <v>1219</v>
      </c>
      <c r="C109" t="s">
        <v>1001</v>
      </c>
      <c r="D109" t="s">
        <v>892</v>
      </c>
      <c r="E109" s="89">
        <v>11.250299999999999</v>
      </c>
      <c r="F109" s="90">
        <v>45413</v>
      </c>
      <c r="G109" s="90">
        <v>51501</v>
      </c>
    </row>
    <row r="110" spans="1:7" x14ac:dyDescent="0.3">
      <c r="A110" t="s">
        <v>1218</v>
      </c>
      <c r="B110" t="s">
        <v>1219</v>
      </c>
      <c r="C110" t="s">
        <v>466</v>
      </c>
      <c r="D110" t="s">
        <v>467</v>
      </c>
      <c r="E110" s="89">
        <v>0.33810000000000001</v>
      </c>
      <c r="F110" s="90">
        <v>45413</v>
      </c>
      <c r="G110" s="90">
        <v>51501</v>
      </c>
    </row>
    <row r="111" spans="1:7" x14ac:dyDescent="0.3">
      <c r="A111" t="s">
        <v>1220</v>
      </c>
      <c r="B111" t="s">
        <v>1219</v>
      </c>
      <c r="C111" t="s">
        <v>466</v>
      </c>
      <c r="D111" t="s">
        <v>467</v>
      </c>
      <c r="E111" s="89">
        <v>0.50309999999999999</v>
      </c>
      <c r="F111" s="90">
        <v>45413</v>
      </c>
      <c r="G111" s="90">
        <v>51501</v>
      </c>
    </row>
    <row r="112" spans="1:7" x14ac:dyDescent="0.3">
      <c r="A112" t="s">
        <v>1218</v>
      </c>
      <c r="B112" t="s">
        <v>1219</v>
      </c>
      <c r="C112" t="s">
        <v>1002</v>
      </c>
      <c r="D112" t="s">
        <v>467</v>
      </c>
      <c r="E112" s="89">
        <v>0.33810000000000001</v>
      </c>
      <c r="F112" s="90">
        <v>45413</v>
      </c>
      <c r="G112" s="90">
        <v>51501</v>
      </c>
    </row>
    <row r="113" spans="1:7" x14ac:dyDescent="0.3">
      <c r="A113" t="s">
        <v>1220</v>
      </c>
      <c r="B113" t="s">
        <v>1219</v>
      </c>
      <c r="C113" t="s">
        <v>1002</v>
      </c>
      <c r="D113" t="s">
        <v>467</v>
      </c>
      <c r="E113" s="89">
        <v>0.33810000000000001</v>
      </c>
      <c r="F113" s="90">
        <v>45413</v>
      </c>
      <c r="G113" s="90">
        <v>51501</v>
      </c>
    </row>
    <row r="114" spans="1:7" x14ac:dyDescent="0.3">
      <c r="A114" t="s">
        <v>1218</v>
      </c>
      <c r="B114" t="s">
        <v>1219</v>
      </c>
      <c r="C114" t="s">
        <v>889</v>
      </c>
      <c r="D114" t="s">
        <v>890</v>
      </c>
      <c r="E114" s="89">
        <v>9.65</v>
      </c>
      <c r="F114" s="90">
        <v>45413</v>
      </c>
      <c r="G114" s="90">
        <v>51501</v>
      </c>
    </row>
    <row r="115" spans="1:7" x14ac:dyDescent="0.3">
      <c r="A115" t="s">
        <v>1220</v>
      </c>
      <c r="B115" t="s">
        <v>1219</v>
      </c>
      <c r="C115" t="s">
        <v>889</v>
      </c>
      <c r="D115" t="s">
        <v>890</v>
      </c>
      <c r="E115" s="89">
        <v>14.270300000000001</v>
      </c>
      <c r="F115" s="90">
        <v>45413</v>
      </c>
      <c r="G115" s="90">
        <v>51501</v>
      </c>
    </row>
    <row r="116" spans="1:7" x14ac:dyDescent="0.3">
      <c r="A116" t="s">
        <v>1218</v>
      </c>
      <c r="B116" t="s">
        <v>1219</v>
      </c>
      <c r="C116" t="s">
        <v>1003</v>
      </c>
      <c r="D116" t="s">
        <v>890</v>
      </c>
      <c r="E116" s="89">
        <v>9.65</v>
      </c>
      <c r="F116" s="90">
        <v>45413</v>
      </c>
      <c r="G116" s="90">
        <v>51501</v>
      </c>
    </row>
    <row r="117" spans="1:7" x14ac:dyDescent="0.3">
      <c r="A117" t="s">
        <v>1220</v>
      </c>
      <c r="B117" t="s">
        <v>1219</v>
      </c>
      <c r="C117" t="s">
        <v>1003</v>
      </c>
      <c r="D117" t="s">
        <v>890</v>
      </c>
      <c r="E117" s="89">
        <v>9.65</v>
      </c>
      <c r="F117" s="90">
        <v>45413</v>
      </c>
      <c r="G117" s="90">
        <v>51501</v>
      </c>
    </row>
    <row r="118" spans="1:7" x14ac:dyDescent="0.3">
      <c r="A118" t="s">
        <v>1218</v>
      </c>
      <c r="B118" t="s">
        <v>1219</v>
      </c>
      <c r="C118" t="s">
        <v>635</v>
      </c>
      <c r="D118" t="s">
        <v>636</v>
      </c>
      <c r="E118" s="89">
        <v>10.5273</v>
      </c>
      <c r="F118" s="90">
        <v>45413</v>
      </c>
      <c r="G118" s="90">
        <v>51501</v>
      </c>
    </row>
    <row r="119" spans="1:7" x14ac:dyDescent="0.3">
      <c r="A119" t="s">
        <v>1220</v>
      </c>
      <c r="B119" t="s">
        <v>1219</v>
      </c>
      <c r="C119" t="s">
        <v>635</v>
      </c>
      <c r="D119" t="s">
        <v>636</v>
      </c>
      <c r="E119" s="89">
        <v>15.567600000000001</v>
      </c>
      <c r="F119" s="90">
        <v>45413</v>
      </c>
      <c r="G119" s="90">
        <v>51501</v>
      </c>
    </row>
    <row r="120" spans="1:7" x14ac:dyDescent="0.3">
      <c r="A120" t="s">
        <v>1218</v>
      </c>
      <c r="B120" t="s">
        <v>1219</v>
      </c>
      <c r="C120" t="s">
        <v>1004</v>
      </c>
      <c r="D120" t="s">
        <v>636</v>
      </c>
      <c r="E120" s="89">
        <v>10.5273</v>
      </c>
      <c r="F120" s="90">
        <v>45413</v>
      </c>
      <c r="G120" s="90">
        <v>51501</v>
      </c>
    </row>
    <row r="121" spans="1:7" x14ac:dyDescent="0.3">
      <c r="A121" t="s">
        <v>1220</v>
      </c>
      <c r="B121" t="s">
        <v>1219</v>
      </c>
      <c r="C121" t="s">
        <v>1004</v>
      </c>
      <c r="D121" t="s">
        <v>636</v>
      </c>
      <c r="E121" s="89">
        <v>10.5273</v>
      </c>
      <c r="F121" s="90">
        <v>45413</v>
      </c>
      <c r="G121" s="90">
        <v>51501</v>
      </c>
    </row>
    <row r="122" spans="1:7" x14ac:dyDescent="0.3">
      <c r="A122" t="s">
        <v>1218</v>
      </c>
      <c r="B122" t="s">
        <v>1219</v>
      </c>
      <c r="C122" t="s">
        <v>639</v>
      </c>
      <c r="D122" t="s">
        <v>640</v>
      </c>
      <c r="E122" s="89">
        <v>10.8782</v>
      </c>
      <c r="F122" s="90">
        <v>45413</v>
      </c>
      <c r="G122" s="90">
        <v>51501</v>
      </c>
    </row>
    <row r="123" spans="1:7" x14ac:dyDescent="0.3">
      <c r="A123" t="s">
        <v>1220</v>
      </c>
      <c r="B123" t="s">
        <v>1219</v>
      </c>
      <c r="C123" t="s">
        <v>639</v>
      </c>
      <c r="D123" t="s">
        <v>640</v>
      </c>
      <c r="E123" s="89">
        <v>16.086500000000001</v>
      </c>
      <c r="F123" s="90">
        <v>45413</v>
      </c>
      <c r="G123" s="90">
        <v>51501</v>
      </c>
    </row>
    <row r="124" spans="1:7" x14ac:dyDescent="0.3">
      <c r="A124" t="s">
        <v>1218</v>
      </c>
      <c r="B124" t="s">
        <v>1219</v>
      </c>
      <c r="C124" t="s">
        <v>1005</v>
      </c>
      <c r="D124" t="s">
        <v>640</v>
      </c>
      <c r="E124" s="89">
        <v>10.8782</v>
      </c>
      <c r="F124" s="90">
        <v>45413</v>
      </c>
      <c r="G124" s="90">
        <v>51501</v>
      </c>
    </row>
    <row r="125" spans="1:7" x14ac:dyDescent="0.3">
      <c r="A125" t="s">
        <v>1220</v>
      </c>
      <c r="B125" t="s">
        <v>1219</v>
      </c>
      <c r="C125" t="s">
        <v>1005</v>
      </c>
      <c r="D125" t="s">
        <v>640</v>
      </c>
      <c r="E125" s="89">
        <v>10.8782</v>
      </c>
      <c r="F125" s="90">
        <v>45413</v>
      </c>
      <c r="G125" s="90">
        <v>51501</v>
      </c>
    </row>
    <row r="126" spans="1:7" x14ac:dyDescent="0.3">
      <c r="A126" t="s">
        <v>1218</v>
      </c>
      <c r="B126" t="s">
        <v>1219</v>
      </c>
      <c r="C126" t="s">
        <v>643</v>
      </c>
      <c r="D126" t="s">
        <v>644</v>
      </c>
      <c r="E126" s="89">
        <v>11.3248</v>
      </c>
      <c r="F126" s="90">
        <v>45413</v>
      </c>
      <c r="G126" s="90">
        <v>51501</v>
      </c>
    </row>
    <row r="127" spans="1:7" x14ac:dyDescent="0.3">
      <c r="A127" t="s">
        <v>1220</v>
      </c>
      <c r="B127" t="s">
        <v>1219</v>
      </c>
      <c r="C127" t="s">
        <v>643</v>
      </c>
      <c r="D127" t="s">
        <v>644</v>
      </c>
      <c r="E127" s="89">
        <v>16.7469</v>
      </c>
      <c r="F127" s="90">
        <v>45413</v>
      </c>
      <c r="G127" s="90">
        <v>51501</v>
      </c>
    </row>
    <row r="128" spans="1:7" x14ac:dyDescent="0.3">
      <c r="A128" t="s">
        <v>1218</v>
      </c>
      <c r="B128" t="s">
        <v>1219</v>
      </c>
      <c r="C128" t="s">
        <v>1006</v>
      </c>
      <c r="D128" t="s">
        <v>644</v>
      </c>
      <c r="E128" s="89">
        <v>11.3248</v>
      </c>
      <c r="F128" s="90">
        <v>45413</v>
      </c>
      <c r="G128" s="90">
        <v>51501</v>
      </c>
    </row>
    <row r="129" spans="1:7" x14ac:dyDescent="0.3">
      <c r="A129" t="s">
        <v>1220</v>
      </c>
      <c r="B129" t="s">
        <v>1219</v>
      </c>
      <c r="C129" t="s">
        <v>1006</v>
      </c>
      <c r="D129" t="s">
        <v>644</v>
      </c>
      <c r="E129" s="89">
        <v>11.3248</v>
      </c>
      <c r="F129" s="90">
        <v>45413</v>
      </c>
      <c r="G129" s="90">
        <v>51501</v>
      </c>
    </row>
    <row r="130" spans="1:7" x14ac:dyDescent="0.3">
      <c r="A130" t="s">
        <v>1218</v>
      </c>
      <c r="B130" t="s">
        <v>1219</v>
      </c>
      <c r="C130" t="s">
        <v>476</v>
      </c>
      <c r="D130" t="s">
        <v>477</v>
      </c>
      <c r="E130" s="89">
        <v>0.38069999999999998</v>
      </c>
      <c r="F130" s="90">
        <v>45413</v>
      </c>
      <c r="G130" s="90">
        <v>51501</v>
      </c>
    </row>
    <row r="131" spans="1:7" x14ac:dyDescent="0.3">
      <c r="A131" t="s">
        <v>1220</v>
      </c>
      <c r="B131" t="s">
        <v>1219</v>
      </c>
      <c r="C131" t="s">
        <v>476</v>
      </c>
      <c r="D131" t="s">
        <v>477</v>
      </c>
      <c r="E131" s="89">
        <v>0.56659999999999999</v>
      </c>
      <c r="F131" s="90">
        <v>45413</v>
      </c>
      <c r="G131" s="90">
        <v>51501</v>
      </c>
    </row>
    <row r="132" spans="1:7" x14ac:dyDescent="0.3">
      <c r="A132" t="s">
        <v>1218</v>
      </c>
      <c r="B132" t="s">
        <v>1219</v>
      </c>
      <c r="C132" t="s">
        <v>1007</v>
      </c>
      <c r="D132" t="s">
        <v>477</v>
      </c>
      <c r="E132" s="89">
        <v>0.38069999999999998</v>
      </c>
      <c r="F132" s="90">
        <v>45413</v>
      </c>
      <c r="G132" s="90">
        <v>51501</v>
      </c>
    </row>
    <row r="133" spans="1:7" x14ac:dyDescent="0.3">
      <c r="A133" t="s">
        <v>1220</v>
      </c>
      <c r="B133" t="s">
        <v>1219</v>
      </c>
      <c r="C133" t="s">
        <v>1007</v>
      </c>
      <c r="D133" t="s">
        <v>477</v>
      </c>
      <c r="E133" s="89">
        <v>0.38069999999999998</v>
      </c>
      <c r="F133" s="90">
        <v>45413</v>
      </c>
      <c r="G133" s="90">
        <v>51501</v>
      </c>
    </row>
    <row r="134" spans="1:7" x14ac:dyDescent="0.3">
      <c r="A134" t="s">
        <v>1218</v>
      </c>
      <c r="B134" t="s">
        <v>1219</v>
      </c>
      <c r="C134" t="s">
        <v>486</v>
      </c>
      <c r="D134" t="s">
        <v>487</v>
      </c>
      <c r="E134" s="89">
        <v>0.41880000000000001</v>
      </c>
      <c r="F134" s="90">
        <v>45413</v>
      </c>
      <c r="G134" s="90">
        <v>51501</v>
      </c>
    </row>
    <row r="135" spans="1:7" x14ac:dyDescent="0.3">
      <c r="A135" t="s">
        <v>1220</v>
      </c>
      <c r="B135" t="s">
        <v>1219</v>
      </c>
      <c r="C135" t="s">
        <v>486</v>
      </c>
      <c r="D135" t="s">
        <v>487</v>
      </c>
      <c r="E135" s="89">
        <v>0.62319999999999998</v>
      </c>
      <c r="F135" s="90">
        <v>45413</v>
      </c>
      <c r="G135" s="90">
        <v>51501</v>
      </c>
    </row>
    <row r="136" spans="1:7" x14ac:dyDescent="0.3">
      <c r="A136" t="s">
        <v>1218</v>
      </c>
      <c r="B136" t="s">
        <v>1219</v>
      </c>
      <c r="C136" t="s">
        <v>1008</v>
      </c>
      <c r="D136" t="s">
        <v>487</v>
      </c>
      <c r="E136" s="89">
        <v>0.41880000000000001</v>
      </c>
      <c r="F136" s="90">
        <v>45413</v>
      </c>
      <c r="G136" s="90">
        <v>51501</v>
      </c>
    </row>
    <row r="137" spans="1:7" x14ac:dyDescent="0.3">
      <c r="A137" t="s">
        <v>1220</v>
      </c>
      <c r="B137" t="s">
        <v>1219</v>
      </c>
      <c r="C137" t="s">
        <v>1008</v>
      </c>
      <c r="D137" t="s">
        <v>487</v>
      </c>
      <c r="E137" s="89">
        <v>0.41880000000000001</v>
      </c>
      <c r="F137" s="90">
        <v>45413</v>
      </c>
      <c r="G137" s="90">
        <v>51501</v>
      </c>
    </row>
    <row r="138" spans="1:7" x14ac:dyDescent="0.3">
      <c r="A138" t="s">
        <v>1218</v>
      </c>
      <c r="B138" t="s">
        <v>1219</v>
      </c>
      <c r="C138" t="s">
        <v>410</v>
      </c>
      <c r="D138" t="s">
        <v>411</v>
      </c>
      <c r="E138" s="89">
        <v>1.0386</v>
      </c>
      <c r="F138" s="90">
        <v>45413</v>
      </c>
      <c r="G138" s="90">
        <v>51501</v>
      </c>
    </row>
    <row r="139" spans="1:7" x14ac:dyDescent="0.3">
      <c r="A139" t="s">
        <v>1220</v>
      </c>
      <c r="B139" t="s">
        <v>1219</v>
      </c>
      <c r="C139" t="s">
        <v>410</v>
      </c>
      <c r="D139" t="s">
        <v>411</v>
      </c>
      <c r="E139" s="89">
        <v>1.5456000000000001</v>
      </c>
      <c r="F139" s="90">
        <v>45413</v>
      </c>
      <c r="G139" s="90">
        <v>51501</v>
      </c>
    </row>
    <row r="140" spans="1:7" x14ac:dyDescent="0.3">
      <c r="A140" t="s">
        <v>1218</v>
      </c>
      <c r="B140" t="s">
        <v>1219</v>
      </c>
      <c r="C140" t="s">
        <v>1009</v>
      </c>
      <c r="D140" t="s">
        <v>411</v>
      </c>
      <c r="E140" s="89">
        <v>1.0386</v>
      </c>
      <c r="F140" s="90">
        <v>45413</v>
      </c>
      <c r="G140" s="90">
        <v>51501</v>
      </c>
    </row>
    <row r="141" spans="1:7" x14ac:dyDescent="0.3">
      <c r="A141" t="s">
        <v>1220</v>
      </c>
      <c r="B141" t="s">
        <v>1219</v>
      </c>
      <c r="C141" t="s">
        <v>1009</v>
      </c>
      <c r="D141" t="s">
        <v>411</v>
      </c>
      <c r="E141" s="89">
        <v>1.0386</v>
      </c>
      <c r="F141" s="90">
        <v>45413</v>
      </c>
      <c r="G141" s="90">
        <v>51501</v>
      </c>
    </row>
    <row r="142" spans="1:7" x14ac:dyDescent="0.3">
      <c r="A142" t="s">
        <v>1218</v>
      </c>
      <c r="B142" t="s">
        <v>1219</v>
      </c>
      <c r="C142" t="s">
        <v>430</v>
      </c>
      <c r="D142" t="s">
        <v>431</v>
      </c>
      <c r="E142" s="89">
        <v>1.5228999999999999</v>
      </c>
      <c r="F142" s="90">
        <v>45413</v>
      </c>
      <c r="G142" s="90">
        <v>51501</v>
      </c>
    </row>
    <row r="143" spans="1:7" x14ac:dyDescent="0.3">
      <c r="A143" t="s">
        <v>1220</v>
      </c>
      <c r="B143" t="s">
        <v>1219</v>
      </c>
      <c r="C143" t="s">
        <v>430</v>
      </c>
      <c r="D143" t="s">
        <v>431</v>
      </c>
      <c r="E143" s="89">
        <v>2.2663000000000002</v>
      </c>
      <c r="F143" s="90">
        <v>45413</v>
      </c>
      <c r="G143" s="90">
        <v>51501</v>
      </c>
    </row>
    <row r="144" spans="1:7" x14ac:dyDescent="0.3">
      <c r="A144" t="s">
        <v>1218</v>
      </c>
      <c r="B144" t="s">
        <v>1219</v>
      </c>
      <c r="C144" t="s">
        <v>1010</v>
      </c>
      <c r="D144" t="s">
        <v>431</v>
      </c>
      <c r="E144" s="89">
        <v>1.5228999999999999</v>
      </c>
      <c r="F144" s="90">
        <v>45413</v>
      </c>
      <c r="G144" s="90">
        <v>51501</v>
      </c>
    </row>
    <row r="145" spans="1:7" x14ac:dyDescent="0.3">
      <c r="A145" t="s">
        <v>1220</v>
      </c>
      <c r="B145" t="s">
        <v>1219</v>
      </c>
      <c r="C145" t="s">
        <v>1010</v>
      </c>
      <c r="D145" t="s">
        <v>431</v>
      </c>
      <c r="E145" s="89">
        <v>1.5228999999999999</v>
      </c>
      <c r="F145" s="90">
        <v>45413</v>
      </c>
      <c r="G145" s="90">
        <v>51501</v>
      </c>
    </row>
    <row r="146" spans="1:7" x14ac:dyDescent="0.3">
      <c r="A146" t="s">
        <v>1218</v>
      </c>
      <c r="B146" t="s">
        <v>1219</v>
      </c>
      <c r="C146" t="s">
        <v>450</v>
      </c>
      <c r="D146" t="s">
        <v>451</v>
      </c>
      <c r="E146" s="89">
        <v>1.7867</v>
      </c>
      <c r="F146" s="90">
        <v>45413</v>
      </c>
      <c r="G146" s="90">
        <v>51501</v>
      </c>
    </row>
    <row r="147" spans="1:7" x14ac:dyDescent="0.3">
      <c r="A147" t="s">
        <v>1220</v>
      </c>
      <c r="B147" t="s">
        <v>1219</v>
      </c>
      <c r="C147" t="s">
        <v>450</v>
      </c>
      <c r="D147" t="s">
        <v>451</v>
      </c>
      <c r="E147" s="89">
        <v>2.6455000000000002</v>
      </c>
      <c r="F147" s="90">
        <v>45413</v>
      </c>
      <c r="G147" s="90">
        <v>51501</v>
      </c>
    </row>
    <row r="148" spans="1:7" x14ac:dyDescent="0.3">
      <c r="A148" t="s">
        <v>1218</v>
      </c>
      <c r="B148" t="s">
        <v>1219</v>
      </c>
      <c r="C148" t="s">
        <v>1011</v>
      </c>
      <c r="D148" t="s">
        <v>451</v>
      </c>
      <c r="E148" s="89">
        <v>1.7867</v>
      </c>
      <c r="F148" s="90">
        <v>45413</v>
      </c>
      <c r="G148" s="90">
        <v>51501</v>
      </c>
    </row>
    <row r="149" spans="1:7" x14ac:dyDescent="0.3">
      <c r="A149" t="s">
        <v>1220</v>
      </c>
      <c r="B149" t="s">
        <v>1219</v>
      </c>
      <c r="C149" t="s">
        <v>1011</v>
      </c>
      <c r="D149" t="s">
        <v>451</v>
      </c>
      <c r="E149" s="89">
        <v>1.7867</v>
      </c>
      <c r="F149" s="90">
        <v>45413</v>
      </c>
      <c r="G149" s="90">
        <v>51501</v>
      </c>
    </row>
    <row r="150" spans="1:7" x14ac:dyDescent="0.3">
      <c r="A150" t="s">
        <v>1218</v>
      </c>
      <c r="B150" t="s">
        <v>1219</v>
      </c>
      <c r="C150" t="s">
        <v>490</v>
      </c>
      <c r="D150" t="s">
        <v>491</v>
      </c>
      <c r="E150" s="89">
        <v>2.0615999999999999</v>
      </c>
      <c r="F150" s="90">
        <v>45413</v>
      </c>
      <c r="G150" s="90">
        <v>51501</v>
      </c>
    </row>
    <row r="151" spans="1:7" x14ac:dyDescent="0.3">
      <c r="A151" t="s">
        <v>1220</v>
      </c>
      <c r="B151" t="s">
        <v>1219</v>
      </c>
      <c r="C151" t="s">
        <v>490</v>
      </c>
      <c r="D151" t="s">
        <v>491</v>
      </c>
      <c r="E151" s="89">
        <v>3.0525000000000002</v>
      </c>
      <c r="F151" s="90">
        <v>45413</v>
      </c>
      <c r="G151" s="90">
        <v>51501</v>
      </c>
    </row>
    <row r="152" spans="1:7" x14ac:dyDescent="0.3">
      <c r="A152" t="s">
        <v>1218</v>
      </c>
      <c r="B152" t="s">
        <v>1219</v>
      </c>
      <c r="C152" t="s">
        <v>1012</v>
      </c>
      <c r="D152" t="s">
        <v>491</v>
      </c>
      <c r="E152" s="89">
        <v>2.0615999999999999</v>
      </c>
      <c r="F152" s="90">
        <v>45413</v>
      </c>
      <c r="G152" s="90">
        <v>51501</v>
      </c>
    </row>
    <row r="153" spans="1:7" x14ac:dyDescent="0.3">
      <c r="A153" t="s">
        <v>1220</v>
      </c>
      <c r="B153" t="s">
        <v>1219</v>
      </c>
      <c r="C153" t="s">
        <v>1012</v>
      </c>
      <c r="D153" t="s">
        <v>491</v>
      </c>
      <c r="E153" s="89">
        <v>2.0615999999999999</v>
      </c>
      <c r="F153" s="90">
        <v>45413</v>
      </c>
      <c r="G153" s="90">
        <v>51501</v>
      </c>
    </row>
    <row r="154" spans="1:7" x14ac:dyDescent="0.3">
      <c r="A154" t="s">
        <v>1218</v>
      </c>
      <c r="B154" t="s">
        <v>1219</v>
      </c>
      <c r="C154" t="s">
        <v>496</v>
      </c>
      <c r="D154" t="s">
        <v>497</v>
      </c>
      <c r="E154" s="89">
        <v>0.45689999999999997</v>
      </c>
      <c r="F154" s="90">
        <v>45413</v>
      </c>
      <c r="G154" s="90">
        <v>51501</v>
      </c>
    </row>
    <row r="155" spans="1:7" x14ac:dyDescent="0.3">
      <c r="A155" t="s">
        <v>1220</v>
      </c>
      <c r="B155" t="s">
        <v>1219</v>
      </c>
      <c r="C155" t="s">
        <v>496</v>
      </c>
      <c r="D155" t="s">
        <v>497</v>
      </c>
      <c r="E155" s="89">
        <v>0.67989999999999995</v>
      </c>
      <c r="F155" s="90">
        <v>45413</v>
      </c>
      <c r="G155" s="90">
        <v>51501</v>
      </c>
    </row>
    <row r="156" spans="1:7" x14ac:dyDescent="0.3">
      <c r="A156" t="s">
        <v>1218</v>
      </c>
      <c r="B156" t="s">
        <v>1219</v>
      </c>
      <c r="C156" t="s">
        <v>1013</v>
      </c>
      <c r="D156" t="s">
        <v>497</v>
      </c>
      <c r="E156" s="89">
        <v>0.45689999999999997</v>
      </c>
      <c r="F156" s="90">
        <v>45413</v>
      </c>
      <c r="G156" s="90">
        <v>51501</v>
      </c>
    </row>
    <row r="157" spans="1:7" x14ac:dyDescent="0.3">
      <c r="A157" t="s">
        <v>1220</v>
      </c>
      <c r="B157" t="s">
        <v>1219</v>
      </c>
      <c r="C157" t="s">
        <v>1013</v>
      </c>
      <c r="D157" t="s">
        <v>497</v>
      </c>
      <c r="E157" s="89">
        <v>0.45689999999999997</v>
      </c>
      <c r="F157" s="90">
        <v>45413</v>
      </c>
      <c r="G157" s="90">
        <v>51501</v>
      </c>
    </row>
    <row r="158" spans="1:7" x14ac:dyDescent="0.3">
      <c r="A158" t="s">
        <v>1218</v>
      </c>
      <c r="B158" t="s">
        <v>1219</v>
      </c>
      <c r="C158" t="s">
        <v>506</v>
      </c>
      <c r="D158" t="s">
        <v>507</v>
      </c>
      <c r="E158" s="89">
        <v>0.48730000000000001</v>
      </c>
      <c r="F158" s="90">
        <v>45413</v>
      </c>
      <c r="G158" s="90">
        <v>51501</v>
      </c>
    </row>
    <row r="159" spans="1:7" x14ac:dyDescent="0.3">
      <c r="A159" t="s">
        <v>1220</v>
      </c>
      <c r="B159" t="s">
        <v>1219</v>
      </c>
      <c r="C159" t="s">
        <v>506</v>
      </c>
      <c r="D159" t="s">
        <v>507</v>
      </c>
      <c r="E159" s="89">
        <v>0.72519999999999996</v>
      </c>
      <c r="F159" s="90">
        <v>45413</v>
      </c>
      <c r="G159" s="90">
        <v>51501</v>
      </c>
    </row>
    <row r="160" spans="1:7" x14ac:dyDescent="0.3">
      <c r="A160" t="s">
        <v>1218</v>
      </c>
      <c r="B160" t="s">
        <v>1219</v>
      </c>
      <c r="C160" t="s">
        <v>1014</v>
      </c>
      <c r="D160" t="s">
        <v>507</v>
      </c>
      <c r="E160" s="89">
        <v>0.48730000000000001</v>
      </c>
      <c r="F160" s="90">
        <v>45413</v>
      </c>
      <c r="G160" s="90">
        <v>51501</v>
      </c>
    </row>
    <row r="161" spans="1:7" x14ac:dyDescent="0.3">
      <c r="A161" t="s">
        <v>1220</v>
      </c>
      <c r="B161" t="s">
        <v>1219</v>
      </c>
      <c r="C161" t="s">
        <v>1014</v>
      </c>
      <c r="D161" t="s">
        <v>507</v>
      </c>
      <c r="E161" s="89">
        <v>0.48730000000000001</v>
      </c>
      <c r="F161" s="90">
        <v>45413</v>
      </c>
      <c r="G161" s="90">
        <v>51501</v>
      </c>
    </row>
    <row r="162" spans="1:7" x14ac:dyDescent="0.3">
      <c r="A162" t="s">
        <v>1218</v>
      </c>
      <c r="B162" t="s">
        <v>1219</v>
      </c>
      <c r="C162" t="s">
        <v>517</v>
      </c>
      <c r="D162" t="s">
        <v>518</v>
      </c>
      <c r="E162" s="89">
        <v>0.49490000000000001</v>
      </c>
      <c r="F162" s="90">
        <v>45413</v>
      </c>
      <c r="G162" s="90">
        <v>51501</v>
      </c>
    </row>
    <row r="163" spans="1:7" x14ac:dyDescent="0.3">
      <c r="A163" t="s">
        <v>1220</v>
      </c>
      <c r="B163" t="s">
        <v>1219</v>
      </c>
      <c r="C163" t="s">
        <v>517</v>
      </c>
      <c r="D163" t="s">
        <v>518</v>
      </c>
      <c r="E163" s="89">
        <v>0.73650000000000004</v>
      </c>
      <c r="F163" s="90">
        <v>45413</v>
      </c>
      <c r="G163" s="90">
        <v>51501</v>
      </c>
    </row>
    <row r="164" spans="1:7" x14ac:dyDescent="0.3">
      <c r="A164" t="s">
        <v>1218</v>
      </c>
      <c r="B164" t="s">
        <v>1219</v>
      </c>
      <c r="C164" t="s">
        <v>1015</v>
      </c>
      <c r="D164" t="s">
        <v>518</v>
      </c>
      <c r="E164" s="89">
        <v>0.49490000000000001</v>
      </c>
      <c r="F164" s="90">
        <v>45413</v>
      </c>
      <c r="G164" s="90">
        <v>51501</v>
      </c>
    </row>
    <row r="165" spans="1:7" x14ac:dyDescent="0.3">
      <c r="A165" t="s">
        <v>1220</v>
      </c>
      <c r="B165" t="s">
        <v>1219</v>
      </c>
      <c r="C165" t="s">
        <v>1015</v>
      </c>
      <c r="D165" t="s">
        <v>518</v>
      </c>
      <c r="E165" s="89">
        <v>0.49490000000000001</v>
      </c>
      <c r="F165" s="90">
        <v>45413</v>
      </c>
      <c r="G165" s="90">
        <v>51501</v>
      </c>
    </row>
    <row r="166" spans="1:7" x14ac:dyDescent="0.3">
      <c r="A166" t="s">
        <v>1218</v>
      </c>
      <c r="B166" t="s">
        <v>1219</v>
      </c>
      <c r="C166" t="s">
        <v>525</v>
      </c>
      <c r="D166" t="s">
        <v>526</v>
      </c>
      <c r="E166" s="89">
        <v>0.50260000000000005</v>
      </c>
      <c r="F166" s="90">
        <v>45413</v>
      </c>
      <c r="G166" s="90">
        <v>51501</v>
      </c>
    </row>
    <row r="167" spans="1:7" x14ac:dyDescent="0.3">
      <c r="A167" t="s">
        <v>1220</v>
      </c>
      <c r="B167" t="s">
        <v>1219</v>
      </c>
      <c r="C167" t="s">
        <v>525</v>
      </c>
      <c r="D167" t="s">
        <v>526</v>
      </c>
      <c r="E167" s="89">
        <v>0.74790000000000001</v>
      </c>
      <c r="F167" s="90">
        <v>45413</v>
      </c>
      <c r="G167" s="90">
        <v>51501</v>
      </c>
    </row>
    <row r="168" spans="1:7" x14ac:dyDescent="0.3">
      <c r="A168" t="s">
        <v>1218</v>
      </c>
      <c r="B168" t="s">
        <v>1219</v>
      </c>
      <c r="C168" t="s">
        <v>1016</v>
      </c>
      <c r="D168" t="s">
        <v>526</v>
      </c>
      <c r="E168" s="89">
        <v>0.50260000000000005</v>
      </c>
      <c r="F168" s="90">
        <v>45413</v>
      </c>
      <c r="G168" s="90">
        <v>51501</v>
      </c>
    </row>
    <row r="169" spans="1:7" x14ac:dyDescent="0.3">
      <c r="A169" t="s">
        <v>1220</v>
      </c>
      <c r="B169" t="s">
        <v>1219</v>
      </c>
      <c r="C169" t="s">
        <v>1016</v>
      </c>
      <c r="D169" t="s">
        <v>526</v>
      </c>
      <c r="E169" s="89">
        <v>0.50260000000000005</v>
      </c>
      <c r="F169" s="90">
        <v>45413</v>
      </c>
      <c r="G169" s="90">
        <v>51501</v>
      </c>
    </row>
    <row r="170" spans="1:7" x14ac:dyDescent="0.3">
      <c r="A170" t="s">
        <v>1218</v>
      </c>
      <c r="B170" t="s">
        <v>1219</v>
      </c>
      <c r="C170" t="s">
        <v>533</v>
      </c>
      <c r="D170" t="s">
        <v>534</v>
      </c>
      <c r="E170" s="89">
        <v>0.50860000000000005</v>
      </c>
      <c r="F170" s="90">
        <v>45413</v>
      </c>
      <c r="G170" s="90">
        <v>51501</v>
      </c>
    </row>
    <row r="171" spans="1:7" x14ac:dyDescent="0.3">
      <c r="A171" t="s">
        <v>1220</v>
      </c>
      <c r="B171" t="s">
        <v>1219</v>
      </c>
      <c r="C171" t="s">
        <v>533</v>
      </c>
      <c r="D171" t="s">
        <v>534</v>
      </c>
      <c r="E171" s="89">
        <v>0.75690000000000002</v>
      </c>
      <c r="F171" s="90">
        <v>45413</v>
      </c>
      <c r="G171" s="90">
        <v>51501</v>
      </c>
    </row>
    <row r="172" spans="1:7" x14ac:dyDescent="0.3">
      <c r="A172" t="s">
        <v>1218</v>
      </c>
      <c r="B172" t="s">
        <v>1219</v>
      </c>
      <c r="C172" t="s">
        <v>1017</v>
      </c>
      <c r="D172" t="s">
        <v>534</v>
      </c>
      <c r="E172" s="89">
        <v>0.50860000000000005</v>
      </c>
      <c r="F172" s="90">
        <v>45413</v>
      </c>
      <c r="G172" s="90">
        <v>51501</v>
      </c>
    </row>
    <row r="173" spans="1:7" x14ac:dyDescent="0.3">
      <c r="A173" t="s">
        <v>1220</v>
      </c>
      <c r="B173" t="s">
        <v>1219</v>
      </c>
      <c r="C173" t="s">
        <v>1017</v>
      </c>
      <c r="D173" t="s">
        <v>534</v>
      </c>
      <c r="E173" s="89">
        <v>0.50860000000000005</v>
      </c>
      <c r="F173" s="90">
        <v>45413</v>
      </c>
      <c r="G173" s="90">
        <v>51501</v>
      </c>
    </row>
    <row r="174" spans="1:7" x14ac:dyDescent="0.3">
      <c r="A174" t="s">
        <v>1218</v>
      </c>
      <c r="B174" t="s">
        <v>1219</v>
      </c>
      <c r="C174" t="s">
        <v>877</v>
      </c>
      <c r="D174" t="s">
        <v>878</v>
      </c>
      <c r="E174" s="89">
        <v>0.51780000000000004</v>
      </c>
      <c r="F174" s="90">
        <v>45413</v>
      </c>
      <c r="G174" s="90">
        <v>51501</v>
      </c>
    </row>
    <row r="175" spans="1:7" x14ac:dyDescent="0.3">
      <c r="A175" t="s">
        <v>1220</v>
      </c>
      <c r="B175" t="s">
        <v>1219</v>
      </c>
      <c r="C175" t="s">
        <v>877</v>
      </c>
      <c r="D175" t="s">
        <v>878</v>
      </c>
      <c r="E175" s="89">
        <v>0.77049999999999996</v>
      </c>
      <c r="F175" s="90">
        <v>45413</v>
      </c>
      <c r="G175" s="90">
        <v>51501</v>
      </c>
    </row>
    <row r="176" spans="1:7" x14ac:dyDescent="0.3">
      <c r="A176" t="s">
        <v>1218</v>
      </c>
      <c r="B176" t="s">
        <v>1219</v>
      </c>
      <c r="C176" t="s">
        <v>1018</v>
      </c>
      <c r="D176" t="s">
        <v>878</v>
      </c>
      <c r="E176" s="89">
        <v>0.51780000000000004</v>
      </c>
      <c r="F176" s="90">
        <v>45413</v>
      </c>
      <c r="G176" s="90">
        <v>51501</v>
      </c>
    </row>
    <row r="177" spans="1:7" x14ac:dyDescent="0.3">
      <c r="A177" t="s">
        <v>1220</v>
      </c>
      <c r="B177" t="s">
        <v>1219</v>
      </c>
      <c r="C177" t="s">
        <v>1018</v>
      </c>
      <c r="D177" t="s">
        <v>878</v>
      </c>
      <c r="E177" s="89">
        <v>0.51780000000000004</v>
      </c>
      <c r="F177" s="90">
        <v>45413</v>
      </c>
      <c r="G177" s="90">
        <v>51501</v>
      </c>
    </row>
    <row r="178" spans="1:7" x14ac:dyDescent="0.3">
      <c r="A178" t="s">
        <v>1218</v>
      </c>
      <c r="B178" t="s">
        <v>1219</v>
      </c>
      <c r="C178" t="s">
        <v>541</v>
      </c>
      <c r="D178" t="s">
        <v>542</v>
      </c>
      <c r="E178" s="89">
        <v>0.51929999999999998</v>
      </c>
      <c r="F178" s="90">
        <v>45413</v>
      </c>
      <c r="G178" s="90">
        <v>51501</v>
      </c>
    </row>
    <row r="179" spans="1:7" x14ac:dyDescent="0.3">
      <c r="A179" t="s">
        <v>1220</v>
      </c>
      <c r="B179" t="s">
        <v>1219</v>
      </c>
      <c r="C179" t="s">
        <v>541</v>
      </c>
      <c r="D179" t="s">
        <v>542</v>
      </c>
      <c r="E179" s="89">
        <v>0.77280000000000004</v>
      </c>
      <c r="F179" s="90">
        <v>45413</v>
      </c>
      <c r="G179" s="90">
        <v>51501</v>
      </c>
    </row>
    <row r="180" spans="1:7" x14ac:dyDescent="0.3">
      <c r="A180" t="s">
        <v>1218</v>
      </c>
      <c r="B180" t="s">
        <v>1219</v>
      </c>
      <c r="C180" t="s">
        <v>1019</v>
      </c>
      <c r="D180" t="s">
        <v>542</v>
      </c>
      <c r="E180" s="89">
        <v>0.51929999999999998</v>
      </c>
      <c r="F180" s="90">
        <v>45413</v>
      </c>
      <c r="G180" s="90">
        <v>51501</v>
      </c>
    </row>
    <row r="181" spans="1:7" x14ac:dyDescent="0.3">
      <c r="A181" t="s">
        <v>1220</v>
      </c>
      <c r="B181" t="s">
        <v>1219</v>
      </c>
      <c r="C181" t="s">
        <v>1019</v>
      </c>
      <c r="D181" t="s">
        <v>542</v>
      </c>
      <c r="E181" s="89">
        <v>0.51929999999999998</v>
      </c>
      <c r="F181" s="90">
        <v>45413</v>
      </c>
      <c r="G181" s="90">
        <v>51501</v>
      </c>
    </row>
    <row r="182" spans="1:7" x14ac:dyDescent="0.3">
      <c r="A182" t="s">
        <v>1218</v>
      </c>
      <c r="B182" t="s">
        <v>1219</v>
      </c>
      <c r="C182" t="s">
        <v>549</v>
      </c>
      <c r="D182" t="s">
        <v>550</v>
      </c>
      <c r="E182" s="89">
        <v>0.52539999999999998</v>
      </c>
      <c r="F182" s="90">
        <v>45413</v>
      </c>
      <c r="G182" s="90">
        <v>51501</v>
      </c>
    </row>
    <row r="183" spans="1:7" x14ac:dyDescent="0.3">
      <c r="A183" t="s">
        <v>1220</v>
      </c>
      <c r="B183" t="s">
        <v>1219</v>
      </c>
      <c r="C183" t="s">
        <v>549</v>
      </c>
      <c r="D183" t="s">
        <v>550</v>
      </c>
      <c r="E183" s="89">
        <v>0.78190000000000004</v>
      </c>
      <c r="F183" s="90">
        <v>45413</v>
      </c>
      <c r="G183" s="90">
        <v>51501</v>
      </c>
    </row>
    <row r="184" spans="1:7" x14ac:dyDescent="0.3">
      <c r="A184" t="s">
        <v>1218</v>
      </c>
      <c r="B184" t="s">
        <v>1219</v>
      </c>
      <c r="C184" t="s">
        <v>1020</v>
      </c>
      <c r="D184" t="s">
        <v>550</v>
      </c>
      <c r="E184" s="89">
        <v>0.52539999999999998</v>
      </c>
      <c r="F184" s="90">
        <v>45413</v>
      </c>
      <c r="G184" s="90">
        <v>51501</v>
      </c>
    </row>
    <row r="185" spans="1:7" x14ac:dyDescent="0.3">
      <c r="A185" t="s">
        <v>1220</v>
      </c>
      <c r="B185" t="s">
        <v>1219</v>
      </c>
      <c r="C185" t="s">
        <v>1020</v>
      </c>
      <c r="D185" t="s">
        <v>550</v>
      </c>
      <c r="E185" s="89">
        <v>0.52539999999999998</v>
      </c>
      <c r="F185" s="90">
        <v>45413</v>
      </c>
      <c r="G185" s="90">
        <v>51501</v>
      </c>
    </row>
    <row r="186" spans="1:7" x14ac:dyDescent="0.3">
      <c r="A186" t="s">
        <v>1218</v>
      </c>
      <c r="B186" t="s">
        <v>1219</v>
      </c>
      <c r="C186" t="s">
        <v>557</v>
      </c>
      <c r="D186" t="s">
        <v>558</v>
      </c>
      <c r="E186" s="89">
        <v>0.53300000000000003</v>
      </c>
      <c r="F186" s="90">
        <v>45413</v>
      </c>
      <c r="G186" s="90">
        <v>51501</v>
      </c>
    </row>
    <row r="187" spans="1:7" x14ac:dyDescent="0.3">
      <c r="A187" t="s">
        <v>1220</v>
      </c>
      <c r="B187" t="s">
        <v>1219</v>
      </c>
      <c r="C187" t="s">
        <v>557</v>
      </c>
      <c r="D187" t="s">
        <v>558</v>
      </c>
      <c r="E187" s="89">
        <v>0.79320000000000002</v>
      </c>
      <c r="F187" s="90">
        <v>45413</v>
      </c>
      <c r="G187" s="90">
        <v>51501</v>
      </c>
    </row>
    <row r="188" spans="1:7" x14ac:dyDescent="0.3">
      <c r="A188" t="s">
        <v>1218</v>
      </c>
      <c r="B188" t="s">
        <v>1219</v>
      </c>
      <c r="C188" t="s">
        <v>1021</v>
      </c>
      <c r="D188" t="s">
        <v>558</v>
      </c>
      <c r="E188" s="89">
        <v>0.53300000000000003</v>
      </c>
      <c r="F188" s="90">
        <v>45413</v>
      </c>
      <c r="G188" s="90">
        <v>51501</v>
      </c>
    </row>
    <row r="189" spans="1:7" x14ac:dyDescent="0.3">
      <c r="A189" t="s">
        <v>1220</v>
      </c>
      <c r="B189" t="s">
        <v>1219</v>
      </c>
      <c r="C189" t="s">
        <v>1021</v>
      </c>
      <c r="D189" t="s">
        <v>558</v>
      </c>
      <c r="E189" s="89">
        <v>0.53300000000000003</v>
      </c>
      <c r="F189" s="90">
        <v>45413</v>
      </c>
      <c r="G189" s="90">
        <v>51501</v>
      </c>
    </row>
    <row r="190" spans="1:7" x14ac:dyDescent="0.3">
      <c r="A190" t="s">
        <v>1218</v>
      </c>
      <c r="B190" t="s">
        <v>1219</v>
      </c>
      <c r="C190" t="s">
        <v>565</v>
      </c>
      <c r="D190" t="s">
        <v>566</v>
      </c>
      <c r="E190" s="89">
        <v>0.53910000000000002</v>
      </c>
      <c r="F190" s="90">
        <v>45413</v>
      </c>
      <c r="G190" s="90">
        <v>51501</v>
      </c>
    </row>
    <row r="191" spans="1:7" x14ac:dyDescent="0.3">
      <c r="A191" t="s">
        <v>1220</v>
      </c>
      <c r="B191" t="s">
        <v>1219</v>
      </c>
      <c r="C191" t="s">
        <v>565</v>
      </c>
      <c r="D191" t="s">
        <v>566</v>
      </c>
      <c r="E191" s="89">
        <v>0.80230000000000001</v>
      </c>
      <c r="F191" s="90">
        <v>45413</v>
      </c>
      <c r="G191" s="90">
        <v>51501</v>
      </c>
    </row>
    <row r="192" spans="1:7" x14ac:dyDescent="0.3">
      <c r="A192" t="s">
        <v>1218</v>
      </c>
      <c r="B192" t="s">
        <v>1219</v>
      </c>
      <c r="C192" t="s">
        <v>1022</v>
      </c>
      <c r="D192" t="s">
        <v>566</v>
      </c>
      <c r="E192" s="89">
        <v>0.53910000000000002</v>
      </c>
      <c r="F192" s="90">
        <v>45413</v>
      </c>
      <c r="G192" s="90">
        <v>51501</v>
      </c>
    </row>
    <row r="193" spans="1:7" x14ac:dyDescent="0.3">
      <c r="A193" t="s">
        <v>1220</v>
      </c>
      <c r="B193" t="s">
        <v>1219</v>
      </c>
      <c r="C193" t="s">
        <v>1022</v>
      </c>
      <c r="D193" t="s">
        <v>566</v>
      </c>
      <c r="E193" s="89">
        <v>0.53910000000000002</v>
      </c>
      <c r="F193" s="90">
        <v>45413</v>
      </c>
      <c r="G193" s="90">
        <v>51501</v>
      </c>
    </row>
    <row r="194" spans="1:7" x14ac:dyDescent="0.3">
      <c r="A194" t="s">
        <v>1218</v>
      </c>
      <c r="B194" t="s">
        <v>1219</v>
      </c>
      <c r="C194" t="s">
        <v>573</v>
      </c>
      <c r="D194" t="s">
        <v>574</v>
      </c>
      <c r="E194" s="89">
        <v>0.54059999999999997</v>
      </c>
      <c r="F194" s="90">
        <v>45413</v>
      </c>
      <c r="G194" s="90">
        <v>51501</v>
      </c>
    </row>
    <row r="195" spans="1:7" x14ac:dyDescent="0.3">
      <c r="A195" t="s">
        <v>1220</v>
      </c>
      <c r="B195" t="s">
        <v>1219</v>
      </c>
      <c r="C195" t="s">
        <v>573</v>
      </c>
      <c r="D195" t="s">
        <v>574</v>
      </c>
      <c r="E195" s="89">
        <v>0.80449999999999999</v>
      </c>
      <c r="F195" s="90">
        <v>45413</v>
      </c>
      <c r="G195" s="90">
        <v>51501</v>
      </c>
    </row>
    <row r="196" spans="1:7" x14ac:dyDescent="0.3">
      <c r="A196" t="s">
        <v>1218</v>
      </c>
      <c r="B196" t="s">
        <v>1219</v>
      </c>
      <c r="C196" t="s">
        <v>1023</v>
      </c>
      <c r="D196" t="s">
        <v>574</v>
      </c>
      <c r="E196" s="89">
        <v>0.54059999999999997</v>
      </c>
      <c r="F196" s="90">
        <v>45413</v>
      </c>
      <c r="G196" s="90">
        <v>51501</v>
      </c>
    </row>
    <row r="197" spans="1:7" x14ac:dyDescent="0.3">
      <c r="A197" t="s">
        <v>1220</v>
      </c>
      <c r="B197" t="s">
        <v>1219</v>
      </c>
      <c r="C197" t="s">
        <v>1023</v>
      </c>
      <c r="D197" t="s">
        <v>574</v>
      </c>
      <c r="E197" s="89">
        <v>0.54059999999999997</v>
      </c>
      <c r="F197" s="90">
        <v>45413</v>
      </c>
      <c r="G197" s="90">
        <v>51501</v>
      </c>
    </row>
    <row r="198" spans="1:7" x14ac:dyDescent="0.3">
      <c r="A198" t="s">
        <v>1218</v>
      </c>
      <c r="B198" t="s">
        <v>1219</v>
      </c>
      <c r="C198" t="s">
        <v>579</v>
      </c>
      <c r="D198" t="s">
        <v>580</v>
      </c>
      <c r="E198" s="89">
        <v>0.57110000000000005</v>
      </c>
      <c r="F198" s="90">
        <v>45413</v>
      </c>
      <c r="G198" s="90">
        <v>51501</v>
      </c>
    </row>
    <row r="199" spans="1:7" x14ac:dyDescent="0.3">
      <c r="A199" t="s">
        <v>1220</v>
      </c>
      <c r="B199" t="s">
        <v>1219</v>
      </c>
      <c r="C199" t="s">
        <v>579</v>
      </c>
      <c r="D199" t="s">
        <v>580</v>
      </c>
      <c r="E199" s="89">
        <v>0.84989999999999999</v>
      </c>
      <c r="F199" s="90">
        <v>45413</v>
      </c>
      <c r="G199" s="90">
        <v>51501</v>
      </c>
    </row>
    <row r="200" spans="1:7" x14ac:dyDescent="0.3">
      <c r="A200" t="s">
        <v>1218</v>
      </c>
      <c r="B200" t="s">
        <v>1219</v>
      </c>
      <c r="C200" t="s">
        <v>1024</v>
      </c>
      <c r="D200" t="s">
        <v>580</v>
      </c>
      <c r="E200" s="89">
        <v>0.57110000000000005</v>
      </c>
      <c r="F200" s="90">
        <v>45413</v>
      </c>
      <c r="G200" s="90">
        <v>51501</v>
      </c>
    </row>
    <row r="201" spans="1:7" x14ac:dyDescent="0.3">
      <c r="A201" t="s">
        <v>1220</v>
      </c>
      <c r="B201" t="s">
        <v>1219</v>
      </c>
      <c r="C201" t="s">
        <v>1024</v>
      </c>
      <c r="D201" t="s">
        <v>580</v>
      </c>
      <c r="E201" s="89">
        <v>0.57110000000000005</v>
      </c>
      <c r="F201" s="90">
        <v>45413</v>
      </c>
      <c r="G201" s="90">
        <v>51501</v>
      </c>
    </row>
    <row r="202" spans="1:7" x14ac:dyDescent="0.3">
      <c r="A202" t="s">
        <v>1218</v>
      </c>
      <c r="B202" t="s">
        <v>1219</v>
      </c>
      <c r="C202" t="s">
        <v>420</v>
      </c>
      <c r="D202" t="s">
        <v>421</v>
      </c>
      <c r="E202" s="89">
        <v>1.5077</v>
      </c>
      <c r="F202" s="90">
        <v>45413</v>
      </c>
      <c r="G202" s="90">
        <v>51501</v>
      </c>
    </row>
    <row r="203" spans="1:7" x14ac:dyDescent="0.3">
      <c r="A203" t="s">
        <v>1220</v>
      </c>
      <c r="B203" t="s">
        <v>1219</v>
      </c>
      <c r="C203" t="s">
        <v>420</v>
      </c>
      <c r="D203" t="s">
        <v>421</v>
      </c>
      <c r="E203" s="89">
        <v>2.2435999999999998</v>
      </c>
      <c r="F203" s="90">
        <v>45413</v>
      </c>
      <c r="G203" s="90">
        <v>51501</v>
      </c>
    </row>
    <row r="204" spans="1:7" x14ac:dyDescent="0.3">
      <c r="A204" t="s">
        <v>1218</v>
      </c>
      <c r="B204" t="s">
        <v>1219</v>
      </c>
      <c r="C204" t="s">
        <v>1025</v>
      </c>
      <c r="D204" t="s">
        <v>421</v>
      </c>
      <c r="E204" s="89">
        <v>1.5077</v>
      </c>
      <c r="F204" s="90">
        <v>45413</v>
      </c>
      <c r="G204" s="90">
        <v>51501</v>
      </c>
    </row>
    <row r="205" spans="1:7" x14ac:dyDescent="0.3">
      <c r="A205" t="s">
        <v>1220</v>
      </c>
      <c r="B205" t="s">
        <v>1219</v>
      </c>
      <c r="C205" t="s">
        <v>1025</v>
      </c>
      <c r="D205" t="s">
        <v>421</v>
      </c>
      <c r="E205" s="89">
        <v>1.5077</v>
      </c>
      <c r="F205" s="90">
        <v>45413</v>
      </c>
      <c r="G205" s="90">
        <v>51501</v>
      </c>
    </row>
    <row r="206" spans="1:7" x14ac:dyDescent="0.3">
      <c r="A206" t="s">
        <v>1218</v>
      </c>
      <c r="B206" t="s">
        <v>1219</v>
      </c>
      <c r="C206" t="s">
        <v>500</v>
      </c>
      <c r="D206" t="s">
        <v>501</v>
      </c>
      <c r="E206" s="89">
        <v>2.0615999999999999</v>
      </c>
      <c r="F206" s="90">
        <v>45413</v>
      </c>
      <c r="G206" s="90">
        <v>51501</v>
      </c>
    </row>
    <row r="207" spans="1:7" x14ac:dyDescent="0.3">
      <c r="A207" t="s">
        <v>1220</v>
      </c>
      <c r="B207" t="s">
        <v>1219</v>
      </c>
      <c r="C207" t="s">
        <v>500</v>
      </c>
      <c r="D207" t="s">
        <v>501</v>
      </c>
      <c r="E207" s="89">
        <v>3.0525000000000002</v>
      </c>
      <c r="F207" s="90">
        <v>45413</v>
      </c>
      <c r="G207" s="90">
        <v>51501</v>
      </c>
    </row>
    <row r="208" spans="1:7" x14ac:dyDescent="0.3">
      <c r="A208" t="s">
        <v>1218</v>
      </c>
      <c r="B208" t="s">
        <v>1219</v>
      </c>
      <c r="C208" t="s">
        <v>1026</v>
      </c>
      <c r="D208" t="s">
        <v>501</v>
      </c>
      <c r="E208" s="89">
        <v>2.0615999999999999</v>
      </c>
      <c r="F208" s="90">
        <v>45413</v>
      </c>
      <c r="G208" s="90">
        <v>51501</v>
      </c>
    </row>
    <row r="209" spans="1:7" x14ac:dyDescent="0.3">
      <c r="A209" t="s">
        <v>1220</v>
      </c>
      <c r="B209" t="s">
        <v>1219</v>
      </c>
      <c r="C209" t="s">
        <v>1026</v>
      </c>
      <c r="D209" t="s">
        <v>501</v>
      </c>
      <c r="E209" s="89">
        <v>2.0615999999999999</v>
      </c>
      <c r="F209" s="90">
        <v>45413</v>
      </c>
      <c r="G209" s="90">
        <v>51501</v>
      </c>
    </row>
    <row r="210" spans="1:7" x14ac:dyDescent="0.3">
      <c r="A210" t="s">
        <v>1218</v>
      </c>
      <c r="B210" t="s">
        <v>1219</v>
      </c>
      <c r="C210" t="s">
        <v>559</v>
      </c>
      <c r="D210" t="s">
        <v>560</v>
      </c>
      <c r="E210" s="89">
        <v>3.0924</v>
      </c>
      <c r="F210" s="90">
        <v>45413</v>
      </c>
      <c r="G210" s="90">
        <v>51501</v>
      </c>
    </row>
    <row r="211" spans="1:7" x14ac:dyDescent="0.3">
      <c r="A211" t="s">
        <v>1220</v>
      </c>
      <c r="B211" t="s">
        <v>1219</v>
      </c>
      <c r="C211" t="s">
        <v>559</v>
      </c>
      <c r="D211" t="s">
        <v>560</v>
      </c>
      <c r="E211" s="89">
        <v>4.5788000000000002</v>
      </c>
      <c r="F211" s="90">
        <v>45413</v>
      </c>
      <c r="G211" s="90">
        <v>51501</v>
      </c>
    </row>
    <row r="212" spans="1:7" x14ac:dyDescent="0.3">
      <c r="A212" t="s">
        <v>1218</v>
      </c>
      <c r="B212" t="s">
        <v>1219</v>
      </c>
      <c r="C212" t="s">
        <v>1027</v>
      </c>
      <c r="D212" t="s">
        <v>560</v>
      </c>
      <c r="E212" s="89">
        <v>3.0924</v>
      </c>
      <c r="F212" s="90">
        <v>45413</v>
      </c>
      <c r="G212" s="90">
        <v>51501</v>
      </c>
    </row>
    <row r="213" spans="1:7" x14ac:dyDescent="0.3">
      <c r="A213" t="s">
        <v>1220</v>
      </c>
      <c r="B213" t="s">
        <v>1219</v>
      </c>
      <c r="C213" t="s">
        <v>1027</v>
      </c>
      <c r="D213" t="s">
        <v>560</v>
      </c>
      <c r="E213" s="89">
        <v>3.0924</v>
      </c>
      <c r="F213" s="90">
        <v>45413</v>
      </c>
      <c r="G213" s="90">
        <v>51501</v>
      </c>
    </row>
    <row r="214" spans="1:7" x14ac:dyDescent="0.3">
      <c r="A214" t="s">
        <v>1218</v>
      </c>
      <c r="B214" t="s">
        <v>1219</v>
      </c>
      <c r="C214" t="s">
        <v>585</v>
      </c>
      <c r="D214" t="s">
        <v>586</v>
      </c>
      <c r="E214" s="89">
        <v>0.67010000000000003</v>
      </c>
      <c r="F214" s="90">
        <v>45413</v>
      </c>
      <c r="G214" s="90">
        <v>51501</v>
      </c>
    </row>
    <row r="215" spans="1:7" x14ac:dyDescent="0.3">
      <c r="A215" t="s">
        <v>1220</v>
      </c>
      <c r="B215" t="s">
        <v>1219</v>
      </c>
      <c r="C215" t="s">
        <v>585</v>
      </c>
      <c r="D215" t="s">
        <v>586</v>
      </c>
      <c r="E215" s="89">
        <v>0.99719999999999998</v>
      </c>
      <c r="F215" s="90">
        <v>45413</v>
      </c>
      <c r="G215" s="90">
        <v>51501</v>
      </c>
    </row>
    <row r="216" spans="1:7" x14ac:dyDescent="0.3">
      <c r="A216" t="s">
        <v>1218</v>
      </c>
      <c r="B216" t="s">
        <v>1219</v>
      </c>
      <c r="C216" t="s">
        <v>1028</v>
      </c>
      <c r="D216" t="s">
        <v>586</v>
      </c>
      <c r="E216" s="89">
        <v>0.67010000000000003</v>
      </c>
      <c r="F216" s="90">
        <v>45413</v>
      </c>
      <c r="G216" s="90">
        <v>51501</v>
      </c>
    </row>
    <row r="217" spans="1:7" x14ac:dyDescent="0.3">
      <c r="A217" t="s">
        <v>1220</v>
      </c>
      <c r="B217" t="s">
        <v>1219</v>
      </c>
      <c r="C217" t="s">
        <v>1028</v>
      </c>
      <c r="D217" t="s">
        <v>586</v>
      </c>
      <c r="E217" s="89">
        <v>0.67010000000000003</v>
      </c>
      <c r="F217" s="90">
        <v>45413</v>
      </c>
      <c r="G217" s="90">
        <v>51501</v>
      </c>
    </row>
    <row r="218" spans="1:7" x14ac:dyDescent="0.3">
      <c r="A218" t="s">
        <v>1218</v>
      </c>
      <c r="B218" t="s">
        <v>1219</v>
      </c>
      <c r="C218" t="s">
        <v>591</v>
      </c>
      <c r="D218" t="s">
        <v>592</v>
      </c>
      <c r="E218" s="89">
        <v>0.68530000000000002</v>
      </c>
      <c r="F218" s="90">
        <v>45413</v>
      </c>
      <c r="G218" s="90">
        <v>51501</v>
      </c>
    </row>
    <row r="219" spans="1:7" x14ac:dyDescent="0.3">
      <c r="A219" t="s">
        <v>1220</v>
      </c>
      <c r="B219" t="s">
        <v>1219</v>
      </c>
      <c r="C219" t="s">
        <v>591</v>
      </c>
      <c r="D219" t="s">
        <v>592</v>
      </c>
      <c r="E219" s="89">
        <v>1.0198</v>
      </c>
      <c r="F219" s="90">
        <v>45413</v>
      </c>
      <c r="G219" s="90">
        <v>51501</v>
      </c>
    </row>
    <row r="220" spans="1:7" x14ac:dyDescent="0.3">
      <c r="A220" t="s">
        <v>1218</v>
      </c>
      <c r="B220" t="s">
        <v>1219</v>
      </c>
      <c r="C220" t="s">
        <v>1029</v>
      </c>
      <c r="D220" t="s">
        <v>592</v>
      </c>
      <c r="E220" s="89">
        <v>0.68530000000000002</v>
      </c>
      <c r="F220" s="90">
        <v>45413</v>
      </c>
      <c r="G220" s="90">
        <v>51501</v>
      </c>
    </row>
    <row r="221" spans="1:7" x14ac:dyDescent="0.3">
      <c r="A221" t="s">
        <v>1220</v>
      </c>
      <c r="B221" t="s">
        <v>1219</v>
      </c>
      <c r="C221" t="s">
        <v>1029</v>
      </c>
      <c r="D221" t="s">
        <v>592</v>
      </c>
      <c r="E221" s="89">
        <v>0.68530000000000002</v>
      </c>
      <c r="F221" s="90">
        <v>45413</v>
      </c>
      <c r="G221" s="90">
        <v>51501</v>
      </c>
    </row>
    <row r="222" spans="1:7" x14ac:dyDescent="0.3">
      <c r="A222" t="s">
        <v>1218</v>
      </c>
      <c r="B222" t="s">
        <v>1219</v>
      </c>
      <c r="C222" t="s">
        <v>597</v>
      </c>
      <c r="D222" t="s">
        <v>598</v>
      </c>
      <c r="E222" s="89">
        <v>0.72030000000000005</v>
      </c>
      <c r="F222" s="90">
        <v>45413</v>
      </c>
      <c r="G222" s="90">
        <v>51501</v>
      </c>
    </row>
    <row r="223" spans="1:7" x14ac:dyDescent="0.3">
      <c r="A223" t="s">
        <v>1220</v>
      </c>
      <c r="B223" t="s">
        <v>1219</v>
      </c>
      <c r="C223" t="s">
        <v>597</v>
      </c>
      <c r="D223" t="s">
        <v>598</v>
      </c>
      <c r="E223" s="89">
        <v>1.0720000000000001</v>
      </c>
      <c r="F223" s="90">
        <v>45413</v>
      </c>
      <c r="G223" s="90">
        <v>51501</v>
      </c>
    </row>
    <row r="224" spans="1:7" x14ac:dyDescent="0.3">
      <c r="A224" t="s">
        <v>1218</v>
      </c>
      <c r="B224" t="s">
        <v>1219</v>
      </c>
      <c r="C224" t="s">
        <v>1030</v>
      </c>
      <c r="D224" t="s">
        <v>598</v>
      </c>
      <c r="E224" s="89">
        <v>0.72030000000000005</v>
      </c>
      <c r="F224" s="90">
        <v>45413</v>
      </c>
      <c r="G224" s="90">
        <v>51501</v>
      </c>
    </row>
    <row r="225" spans="1:7" x14ac:dyDescent="0.3">
      <c r="A225" t="s">
        <v>1220</v>
      </c>
      <c r="B225" t="s">
        <v>1219</v>
      </c>
      <c r="C225" t="s">
        <v>1030</v>
      </c>
      <c r="D225" t="s">
        <v>598</v>
      </c>
      <c r="E225" s="89">
        <v>0.72030000000000005</v>
      </c>
      <c r="F225" s="90">
        <v>45413</v>
      </c>
      <c r="G225" s="90">
        <v>51501</v>
      </c>
    </row>
    <row r="226" spans="1:7" x14ac:dyDescent="0.3">
      <c r="A226" t="s">
        <v>1218</v>
      </c>
      <c r="B226" t="s">
        <v>1219</v>
      </c>
      <c r="C226" t="s">
        <v>440</v>
      </c>
      <c r="D226" t="s">
        <v>441</v>
      </c>
      <c r="E226" s="89">
        <v>1.5228999999999999</v>
      </c>
      <c r="F226" s="90">
        <v>45413</v>
      </c>
      <c r="G226" s="90">
        <v>51501</v>
      </c>
    </row>
    <row r="227" spans="1:7" x14ac:dyDescent="0.3">
      <c r="A227" t="s">
        <v>1220</v>
      </c>
      <c r="B227" t="s">
        <v>1219</v>
      </c>
      <c r="C227" t="s">
        <v>440</v>
      </c>
      <c r="D227" t="s">
        <v>441</v>
      </c>
      <c r="E227" s="89">
        <v>2.2663000000000002</v>
      </c>
      <c r="F227" s="90">
        <v>45413</v>
      </c>
      <c r="G227" s="90">
        <v>51501</v>
      </c>
    </row>
    <row r="228" spans="1:7" x14ac:dyDescent="0.3">
      <c r="A228" t="s">
        <v>1218</v>
      </c>
      <c r="B228" t="s">
        <v>1219</v>
      </c>
      <c r="C228" t="s">
        <v>1031</v>
      </c>
      <c r="D228" t="s">
        <v>441</v>
      </c>
      <c r="E228" s="89">
        <v>1.5228999999999999</v>
      </c>
      <c r="F228" s="90">
        <v>45413</v>
      </c>
      <c r="G228" s="90">
        <v>51501</v>
      </c>
    </row>
    <row r="229" spans="1:7" x14ac:dyDescent="0.3">
      <c r="A229" t="s">
        <v>1220</v>
      </c>
      <c r="B229" t="s">
        <v>1219</v>
      </c>
      <c r="C229" t="s">
        <v>1031</v>
      </c>
      <c r="D229" t="s">
        <v>441</v>
      </c>
      <c r="E229" s="89">
        <v>1.5228999999999999</v>
      </c>
      <c r="F229" s="90">
        <v>45413</v>
      </c>
      <c r="G229" s="90">
        <v>51501</v>
      </c>
    </row>
    <row r="230" spans="1:7" x14ac:dyDescent="0.3">
      <c r="A230" t="s">
        <v>1218</v>
      </c>
      <c r="B230" t="s">
        <v>1219</v>
      </c>
      <c r="C230" t="s">
        <v>460</v>
      </c>
      <c r="D230" t="s">
        <v>461</v>
      </c>
      <c r="E230" s="89">
        <v>1.8142</v>
      </c>
      <c r="F230" s="90">
        <v>45413</v>
      </c>
      <c r="G230" s="90">
        <v>51501</v>
      </c>
    </row>
    <row r="231" spans="1:7" x14ac:dyDescent="0.3">
      <c r="A231" t="s">
        <v>1220</v>
      </c>
      <c r="B231" t="s">
        <v>1219</v>
      </c>
      <c r="C231" t="s">
        <v>460</v>
      </c>
      <c r="D231" t="s">
        <v>461</v>
      </c>
      <c r="E231" s="89">
        <v>2.6861999999999999</v>
      </c>
      <c r="F231" s="90">
        <v>45413</v>
      </c>
      <c r="G231" s="90">
        <v>51501</v>
      </c>
    </row>
    <row r="232" spans="1:7" x14ac:dyDescent="0.3">
      <c r="A232" t="s">
        <v>1218</v>
      </c>
      <c r="B232" t="s">
        <v>1219</v>
      </c>
      <c r="C232" t="s">
        <v>1032</v>
      </c>
      <c r="D232" t="s">
        <v>461</v>
      </c>
      <c r="E232" s="89">
        <v>1.8142</v>
      </c>
      <c r="F232" s="90">
        <v>45413</v>
      </c>
      <c r="G232" s="90">
        <v>51501</v>
      </c>
    </row>
    <row r="233" spans="1:7" x14ac:dyDescent="0.3">
      <c r="A233" t="s">
        <v>1220</v>
      </c>
      <c r="B233" t="s">
        <v>1219</v>
      </c>
      <c r="C233" t="s">
        <v>1032</v>
      </c>
      <c r="D233" t="s">
        <v>461</v>
      </c>
      <c r="E233" s="89">
        <v>1.8142</v>
      </c>
      <c r="F233" s="90">
        <v>45413</v>
      </c>
      <c r="G233" s="90">
        <v>51501</v>
      </c>
    </row>
    <row r="234" spans="1:7" x14ac:dyDescent="0.3">
      <c r="A234" t="s">
        <v>1218</v>
      </c>
      <c r="B234" t="s">
        <v>1219</v>
      </c>
      <c r="C234" t="s">
        <v>470</v>
      </c>
      <c r="D234" t="s">
        <v>471</v>
      </c>
      <c r="E234" s="89">
        <v>1.8747</v>
      </c>
      <c r="F234" s="90">
        <v>45413</v>
      </c>
      <c r="G234" s="90">
        <v>51501</v>
      </c>
    </row>
    <row r="235" spans="1:7" x14ac:dyDescent="0.3">
      <c r="A235" t="s">
        <v>1220</v>
      </c>
      <c r="B235" t="s">
        <v>1219</v>
      </c>
      <c r="C235" t="s">
        <v>470</v>
      </c>
      <c r="D235" t="s">
        <v>471</v>
      </c>
      <c r="E235" s="89">
        <v>2.7757000000000001</v>
      </c>
      <c r="F235" s="90">
        <v>45413</v>
      </c>
      <c r="G235" s="90">
        <v>51501</v>
      </c>
    </row>
    <row r="236" spans="1:7" x14ac:dyDescent="0.3">
      <c r="A236" t="s">
        <v>1218</v>
      </c>
      <c r="B236" t="s">
        <v>1219</v>
      </c>
      <c r="C236" t="s">
        <v>1033</v>
      </c>
      <c r="D236" t="s">
        <v>471</v>
      </c>
      <c r="E236" s="89">
        <v>1.8747</v>
      </c>
      <c r="F236" s="90">
        <v>45413</v>
      </c>
      <c r="G236" s="90">
        <v>51501</v>
      </c>
    </row>
    <row r="237" spans="1:7" x14ac:dyDescent="0.3">
      <c r="A237" t="s">
        <v>1220</v>
      </c>
      <c r="B237" t="s">
        <v>1219</v>
      </c>
      <c r="C237" t="s">
        <v>1033</v>
      </c>
      <c r="D237" t="s">
        <v>471</v>
      </c>
      <c r="E237" s="89">
        <v>1.8747</v>
      </c>
      <c r="F237" s="90">
        <v>45413</v>
      </c>
      <c r="G237" s="90">
        <v>51501</v>
      </c>
    </row>
    <row r="238" spans="1:7" x14ac:dyDescent="0.3">
      <c r="A238" t="s">
        <v>1218</v>
      </c>
      <c r="B238" t="s">
        <v>1219</v>
      </c>
      <c r="C238" t="s">
        <v>480</v>
      </c>
      <c r="D238" t="s">
        <v>481</v>
      </c>
      <c r="E238" s="89">
        <v>1.9516</v>
      </c>
      <c r="F238" s="90">
        <v>45413</v>
      </c>
      <c r="G238" s="90">
        <v>51501</v>
      </c>
    </row>
    <row r="239" spans="1:7" x14ac:dyDescent="0.3">
      <c r="A239" t="s">
        <v>1220</v>
      </c>
      <c r="B239" t="s">
        <v>1219</v>
      </c>
      <c r="C239" t="s">
        <v>480</v>
      </c>
      <c r="D239" t="s">
        <v>481</v>
      </c>
      <c r="E239" s="89">
        <v>2.8896999999999999</v>
      </c>
      <c r="F239" s="90">
        <v>45413</v>
      </c>
      <c r="G239" s="90">
        <v>51501</v>
      </c>
    </row>
    <row r="240" spans="1:7" x14ac:dyDescent="0.3">
      <c r="A240" t="s">
        <v>1218</v>
      </c>
      <c r="B240" t="s">
        <v>1219</v>
      </c>
      <c r="C240" t="s">
        <v>1034</v>
      </c>
      <c r="D240" t="s">
        <v>481</v>
      </c>
      <c r="E240" s="89">
        <v>1.9516</v>
      </c>
      <c r="F240" s="90">
        <v>45413</v>
      </c>
      <c r="G240" s="90">
        <v>51501</v>
      </c>
    </row>
    <row r="241" spans="1:7" x14ac:dyDescent="0.3">
      <c r="A241" t="s">
        <v>1220</v>
      </c>
      <c r="B241" t="s">
        <v>1219</v>
      </c>
      <c r="C241" t="s">
        <v>1034</v>
      </c>
      <c r="D241" t="s">
        <v>481</v>
      </c>
      <c r="E241" s="89">
        <v>1.9516</v>
      </c>
      <c r="F241" s="90">
        <v>45413</v>
      </c>
      <c r="G241" s="90">
        <v>51501</v>
      </c>
    </row>
    <row r="242" spans="1:7" x14ac:dyDescent="0.3">
      <c r="A242" t="s">
        <v>1218</v>
      </c>
      <c r="B242" t="s">
        <v>1219</v>
      </c>
      <c r="C242" t="s">
        <v>535</v>
      </c>
      <c r="D242" t="s">
        <v>536</v>
      </c>
      <c r="E242" s="89">
        <v>2.7488000000000001</v>
      </c>
      <c r="F242" s="90">
        <v>45413</v>
      </c>
      <c r="G242" s="90">
        <v>51501</v>
      </c>
    </row>
    <row r="243" spans="1:7" x14ac:dyDescent="0.3">
      <c r="A243" t="s">
        <v>1220</v>
      </c>
      <c r="B243" t="s">
        <v>1219</v>
      </c>
      <c r="C243" t="s">
        <v>535</v>
      </c>
      <c r="D243" t="s">
        <v>536</v>
      </c>
      <c r="E243" s="89">
        <v>4.07</v>
      </c>
      <c r="F243" s="90">
        <v>45413</v>
      </c>
      <c r="G243" s="90">
        <v>51501</v>
      </c>
    </row>
    <row r="244" spans="1:7" x14ac:dyDescent="0.3">
      <c r="A244" t="s">
        <v>1218</v>
      </c>
      <c r="B244" t="s">
        <v>1219</v>
      </c>
      <c r="C244" t="s">
        <v>1035</v>
      </c>
      <c r="D244" t="s">
        <v>536</v>
      </c>
      <c r="E244" s="89">
        <v>2.7488000000000001</v>
      </c>
      <c r="F244" s="90">
        <v>45413</v>
      </c>
      <c r="G244" s="90">
        <v>51501</v>
      </c>
    </row>
    <row r="245" spans="1:7" x14ac:dyDescent="0.3">
      <c r="A245" t="s">
        <v>1220</v>
      </c>
      <c r="B245" t="s">
        <v>1219</v>
      </c>
      <c r="C245" t="s">
        <v>1035</v>
      </c>
      <c r="D245" t="s">
        <v>536</v>
      </c>
      <c r="E245" s="89">
        <v>2.7488000000000001</v>
      </c>
      <c r="F245" s="90">
        <v>45413</v>
      </c>
      <c r="G245" s="90">
        <v>51501</v>
      </c>
    </row>
    <row r="246" spans="1:7" x14ac:dyDescent="0.3">
      <c r="A246" t="s">
        <v>1218</v>
      </c>
      <c r="B246" t="s">
        <v>1219</v>
      </c>
      <c r="C246" t="s">
        <v>575</v>
      </c>
      <c r="D246" t="s">
        <v>576</v>
      </c>
      <c r="E246" s="89">
        <v>3.2986</v>
      </c>
      <c r="F246" s="90">
        <v>45413</v>
      </c>
      <c r="G246" s="90">
        <v>51501</v>
      </c>
    </row>
    <row r="247" spans="1:7" x14ac:dyDescent="0.3">
      <c r="A247" t="s">
        <v>1220</v>
      </c>
      <c r="B247" t="s">
        <v>1219</v>
      </c>
      <c r="C247" t="s">
        <v>575</v>
      </c>
      <c r="D247" t="s">
        <v>576</v>
      </c>
      <c r="E247" s="89">
        <v>4.8840000000000003</v>
      </c>
      <c r="F247" s="90">
        <v>45413</v>
      </c>
      <c r="G247" s="90">
        <v>51501</v>
      </c>
    </row>
    <row r="248" spans="1:7" x14ac:dyDescent="0.3">
      <c r="A248" t="s">
        <v>1218</v>
      </c>
      <c r="B248" t="s">
        <v>1219</v>
      </c>
      <c r="C248" t="s">
        <v>1036</v>
      </c>
      <c r="D248" t="s">
        <v>576</v>
      </c>
      <c r="E248" s="89">
        <v>3.2986</v>
      </c>
      <c r="F248" s="90">
        <v>45413</v>
      </c>
      <c r="G248" s="90">
        <v>51501</v>
      </c>
    </row>
    <row r="249" spans="1:7" x14ac:dyDescent="0.3">
      <c r="A249" t="s">
        <v>1220</v>
      </c>
      <c r="B249" t="s">
        <v>1219</v>
      </c>
      <c r="C249" t="s">
        <v>1036</v>
      </c>
      <c r="D249" t="s">
        <v>576</v>
      </c>
      <c r="E249" s="89">
        <v>3.2986</v>
      </c>
      <c r="F249" s="90">
        <v>45413</v>
      </c>
      <c r="G249" s="90">
        <v>51501</v>
      </c>
    </row>
    <row r="250" spans="1:7" x14ac:dyDescent="0.3">
      <c r="A250" t="s">
        <v>1218</v>
      </c>
      <c r="B250" t="s">
        <v>1219</v>
      </c>
      <c r="C250" t="s">
        <v>603</v>
      </c>
      <c r="D250" t="s">
        <v>604</v>
      </c>
      <c r="E250" s="89">
        <v>0.76149999999999995</v>
      </c>
      <c r="F250" s="90">
        <v>45413</v>
      </c>
      <c r="G250" s="90">
        <v>51501</v>
      </c>
    </row>
    <row r="251" spans="1:7" x14ac:dyDescent="0.3">
      <c r="A251" t="s">
        <v>1220</v>
      </c>
      <c r="B251" t="s">
        <v>1219</v>
      </c>
      <c r="C251" t="s">
        <v>603</v>
      </c>
      <c r="D251" t="s">
        <v>604</v>
      </c>
      <c r="E251" s="89">
        <v>1.1332</v>
      </c>
      <c r="F251" s="90">
        <v>45413</v>
      </c>
      <c r="G251" s="90">
        <v>51501</v>
      </c>
    </row>
    <row r="252" spans="1:7" x14ac:dyDescent="0.3">
      <c r="A252" t="s">
        <v>1218</v>
      </c>
      <c r="B252" t="s">
        <v>1219</v>
      </c>
      <c r="C252" t="s">
        <v>1037</v>
      </c>
      <c r="D252" t="s">
        <v>604</v>
      </c>
      <c r="E252" s="89">
        <v>0.76149999999999995</v>
      </c>
      <c r="F252" s="90">
        <v>45413</v>
      </c>
      <c r="G252" s="90">
        <v>51501</v>
      </c>
    </row>
    <row r="253" spans="1:7" x14ac:dyDescent="0.3">
      <c r="A253" t="s">
        <v>1220</v>
      </c>
      <c r="B253" t="s">
        <v>1219</v>
      </c>
      <c r="C253" t="s">
        <v>1037</v>
      </c>
      <c r="D253" t="s">
        <v>604</v>
      </c>
      <c r="E253" s="89">
        <v>0.76149999999999995</v>
      </c>
      <c r="F253" s="90">
        <v>45413</v>
      </c>
      <c r="G253" s="90">
        <v>51501</v>
      </c>
    </row>
    <row r="254" spans="1:7" x14ac:dyDescent="0.3">
      <c r="A254" t="s">
        <v>1218</v>
      </c>
      <c r="B254" t="s">
        <v>1219</v>
      </c>
      <c r="C254" t="s">
        <v>609</v>
      </c>
      <c r="D254" t="s">
        <v>610</v>
      </c>
      <c r="E254" s="89">
        <v>0.83760000000000001</v>
      </c>
      <c r="F254" s="90">
        <v>45413</v>
      </c>
      <c r="G254" s="90">
        <v>51501</v>
      </c>
    </row>
    <row r="255" spans="1:7" x14ac:dyDescent="0.3">
      <c r="A255" t="s">
        <v>1220</v>
      </c>
      <c r="B255" t="s">
        <v>1219</v>
      </c>
      <c r="C255" t="s">
        <v>609</v>
      </c>
      <c r="D255" t="s">
        <v>610</v>
      </c>
      <c r="E255" s="89">
        <v>1.2464999999999999</v>
      </c>
      <c r="F255" s="90">
        <v>45413</v>
      </c>
      <c r="G255" s="90">
        <v>51501</v>
      </c>
    </row>
    <row r="256" spans="1:7" x14ac:dyDescent="0.3">
      <c r="A256" t="s">
        <v>1218</v>
      </c>
      <c r="B256" t="s">
        <v>1219</v>
      </c>
      <c r="C256" t="s">
        <v>1038</v>
      </c>
      <c r="D256" t="s">
        <v>610</v>
      </c>
      <c r="E256" s="89">
        <v>0.83760000000000001</v>
      </c>
      <c r="F256" s="90">
        <v>45413</v>
      </c>
      <c r="G256" s="90">
        <v>51501</v>
      </c>
    </row>
    <row r="257" spans="1:7" x14ac:dyDescent="0.3">
      <c r="A257" t="s">
        <v>1220</v>
      </c>
      <c r="B257" t="s">
        <v>1219</v>
      </c>
      <c r="C257" t="s">
        <v>1038</v>
      </c>
      <c r="D257" t="s">
        <v>610</v>
      </c>
      <c r="E257" s="89">
        <v>0.83760000000000001</v>
      </c>
      <c r="F257" s="90">
        <v>45413</v>
      </c>
      <c r="G257" s="90">
        <v>51501</v>
      </c>
    </row>
    <row r="258" spans="1:7" x14ac:dyDescent="0.3">
      <c r="A258" t="s">
        <v>1218</v>
      </c>
      <c r="B258" t="s">
        <v>1219</v>
      </c>
      <c r="C258" t="s">
        <v>615</v>
      </c>
      <c r="D258" t="s">
        <v>616</v>
      </c>
      <c r="E258" s="89">
        <v>0.86499999999999999</v>
      </c>
      <c r="F258" s="90">
        <v>45413</v>
      </c>
      <c r="G258" s="90">
        <v>51501</v>
      </c>
    </row>
    <row r="259" spans="1:7" x14ac:dyDescent="0.3">
      <c r="A259" t="s">
        <v>1220</v>
      </c>
      <c r="B259" t="s">
        <v>1219</v>
      </c>
      <c r="C259" t="s">
        <v>615</v>
      </c>
      <c r="D259" t="s">
        <v>616</v>
      </c>
      <c r="E259" s="89">
        <v>1.2873000000000001</v>
      </c>
      <c r="F259" s="90">
        <v>45413</v>
      </c>
      <c r="G259" s="90">
        <v>51501</v>
      </c>
    </row>
    <row r="260" spans="1:7" x14ac:dyDescent="0.3">
      <c r="A260" t="s">
        <v>1218</v>
      </c>
      <c r="B260" t="s">
        <v>1219</v>
      </c>
      <c r="C260" t="s">
        <v>1039</v>
      </c>
      <c r="D260" t="s">
        <v>616</v>
      </c>
      <c r="E260" s="89">
        <v>0.86499999999999999</v>
      </c>
      <c r="F260" s="90">
        <v>45413</v>
      </c>
      <c r="G260" s="90">
        <v>51501</v>
      </c>
    </row>
    <row r="261" spans="1:7" x14ac:dyDescent="0.3">
      <c r="A261" t="s">
        <v>1220</v>
      </c>
      <c r="B261" t="s">
        <v>1219</v>
      </c>
      <c r="C261" t="s">
        <v>1039</v>
      </c>
      <c r="D261" t="s">
        <v>616</v>
      </c>
      <c r="E261" s="89">
        <v>0.86499999999999999</v>
      </c>
      <c r="F261" s="90">
        <v>45413</v>
      </c>
      <c r="G261" s="90">
        <v>51501</v>
      </c>
    </row>
    <row r="262" spans="1:7" x14ac:dyDescent="0.3">
      <c r="A262" t="s">
        <v>1218</v>
      </c>
      <c r="B262" t="s">
        <v>1219</v>
      </c>
      <c r="C262" t="s">
        <v>581</v>
      </c>
      <c r="D262" t="s">
        <v>582</v>
      </c>
      <c r="E262" s="89">
        <v>3.4359999999999999</v>
      </c>
      <c r="F262" s="90">
        <v>45413</v>
      </c>
      <c r="G262" s="90">
        <v>51501</v>
      </c>
    </row>
    <row r="263" spans="1:7" x14ac:dyDescent="0.3">
      <c r="A263" t="s">
        <v>1220</v>
      </c>
      <c r="B263" t="s">
        <v>1219</v>
      </c>
      <c r="C263" t="s">
        <v>581</v>
      </c>
      <c r="D263" t="s">
        <v>582</v>
      </c>
      <c r="E263" s="89">
        <v>5.0875000000000004</v>
      </c>
      <c r="F263" s="90">
        <v>45413</v>
      </c>
      <c r="G263" s="90">
        <v>51501</v>
      </c>
    </row>
    <row r="264" spans="1:7" x14ac:dyDescent="0.3">
      <c r="A264" t="s">
        <v>1218</v>
      </c>
      <c r="B264" t="s">
        <v>1219</v>
      </c>
      <c r="C264" t="s">
        <v>1040</v>
      </c>
      <c r="D264" t="s">
        <v>582</v>
      </c>
      <c r="E264" s="89">
        <v>3.4359999999999999</v>
      </c>
      <c r="F264" s="90">
        <v>45413</v>
      </c>
      <c r="G264" s="90">
        <v>51501</v>
      </c>
    </row>
    <row r="265" spans="1:7" x14ac:dyDescent="0.3">
      <c r="A265" t="s">
        <v>1220</v>
      </c>
      <c r="B265" t="s">
        <v>1219</v>
      </c>
      <c r="C265" t="s">
        <v>1040</v>
      </c>
      <c r="D265" t="s">
        <v>582</v>
      </c>
      <c r="E265" s="89">
        <v>3.4359999999999999</v>
      </c>
      <c r="F265" s="90">
        <v>45413</v>
      </c>
      <c r="G265" s="90">
        <v>51501</v>
      </c>
    </row>
    <row r="266" spans="1:7" x14ac:dyDescent="0.3">
      <c r="A266" t="s">
        <v>1218</v>
      </c>
      <c r="B266" t="s">
        <v>1219</v>
      </c>
      <c r="C266" t="s">
        <v>621</v>
      </c>
      <c r="D266" t="s">
        <v>622</v>
      </c>
      <c r="E266" s="89">
        <v>0.91369999999999996</v>
      </c>
      <c r="F266" s="90">
        <v>45413</v>
      </c>
      <c r="G266" s="90">
        <v>51501</v>
      </c>
    </row>
    <row r="267" spans="1:7" x14ac:dyDescent="0.3">
      <c r="A267" t="s">
        <v>1220</v>
      </c>
      <c r="B267" t="s">
        <v>1219</v>
      </c>
      <c r="C267" t="s">
        <v>621</v>
      </c>
      <c r="D267" t="s">
        <v>622</v>
      </c>
      <c r="E267" s="89">
        <v>1.3597999999999999</v>
      </c>
      <c r="F267" s="90">
        <v>45413</v>
      </c>
      <c r="G267" s="90">
        <v>51501</v>
      </c>
    </row>
    <row r="268" spans="1:7" x14ac:dyDescent="0.3">
      <c r="A268" t="s">
        <v>1218</v>
      </c>
      <c r="B268" t="s">
        <v>1219</v>
      </c>
      <c r="C268" t="s">
        <v>1041</v>
      </c>
      <c r="D268" t="s">
        <v>622</v>
      </c>
      <c r="E268" s="89">
        <v>0.91369999999999996</v>
      </c>
      <c r="F268" s="90">
        <v>45413</v>
      </c>
      <c r="G268" s="90">
        <v>51501</v>
      </c>
    </row>
    <row r="269" spans="1:7" x14ac:dyDescent="0.3">
      <c r="A269" t="s">
        <v>1220</v>
      </c>
      <c r="B269" t="s">
        <v>1219</v>
      </c>
      <c r="C269" t="s">
        <v>1041</v>
      </c>
      <c r="D269" t="s">
        <v>622</v>
      </c>
      <c r="E269" s="89">
        <v>0.91369999999999996</v>
      </c>
      <c r="F269" s="90">
        <v>45413</v>
      </c>
      <c r="G269" s="90">
        <v>51501</v>
      </c>
    </row>
    <row r="270" spans="1:7" x14ac:dyDescent="0.3">
      <c r="A270" t="s">
        <v>1218</v>
      </c>
      <c r="B270" t="s">
        <v>1219</v>
      </c>
      <c r="C270" t="s">
        <v>627</v>
      </c>
      <c r="D270" t="s">
        <v>628</v>
      </c>
      <c r="E270" s="89">
        <v>0.95179999999999998</v>
      </c>
      <c r="F270" s="90">
        <v>45413</v>
      </c>
      <c r="G270" s="90">
        <v>51501</v>
      </c>
    </row>
    <row r="271" spans="1:7" x14ac:dyDescent="0.3">
      <c r="A271" t="s">
        <v>1220</v>
      </c>
      <c r="B271" t="s">
        <v>1219</v>
      </c>
      <c r="C271" t="s">
        <v>627</v>
      </c>
      <c r="D271" t="s">
        <v>628</v>
      </c>
      <c r="E271" s="89">
        <v>1.4164000000000001</v>
      </c>
      <c r="F271" s="90">
        <v>45413</v>
      </c>
      <c r="G271" s="90">
        <v>51501</v>
      </c>
    </row>
    <row r="272" spans="1:7" x14ac:dyDescent="0.3">
      <c r="A272" t="s">
        <v>1218</v>
      </c>
      <c r="B272" t="s">
        <v>1219</v>
      </c>
      <c r="C272" t="s">
        <v>1042</v>
      </c>
      <c r="D272" t="s">
        <v>628</v>
      </c>
      <c r="E272" s="89">
        <v>0.95179999999999998</v>
      </c>
      <c r="F272" s="90">
        <v>45413</v>
      </c>
      <c r="G272" s="90">
        <v>51501</v>
      </c>
    </row>
    <row r="273" spans="1:7" x14ac:dyDescent="0.3">
      <c r="A273" t="s">
        <v>1220</v>
      </c>
      <c r="B273" t="s">
        <v>1219</v>
      </c>
      <c r="C273" t="s">
        <v>1042</v>
      </c>
      <c r="D273" t="s">
        <v>628</v>
      </c>
      <c r="E273" s="89">
        <v>0.95179999999999998</v>
      </c>
      <c r="F273" s="90">
        <v>45413</v>
      </c>
      <c r="G273" s="90">
        <v>51501</v>
      </c>
    </row>
    <row r="274" spans="1:7" x14ac:dyDescent="0.3">
      <c r="A274" t="s">
        <v>1218</v>
      </c>
      <c r="B274" t="s">
        <v>1219</v>
      </c>
      <c r="C274" t="s">
        <v>633</v>
      </c>
      <c r="D274" t="s">
        <v>634</v>
      </c>
      <c r="E274" s="89">
        <v>0.95940000000000003</v>
      </c>
      <c r="F274" s="90">
        <v>45413</v>
      </c>
      <c r="G274" s="90">
        <v>51501</v>
      </c>
    </row>
    <row r="275" spans="1:7" x14ac:dyDescent="0.3">
      <c r="A275" t="s">
        <v>1220</v>
      </c>
      <c r="B275" t="s">
        <v>1219</v>
      </c>
      <c r="C275" t="s">
        <v>633</v>
      </c>
      <c r="D275" t="s">
        <v>634</v>
      </c>
      <c r="E275" s="89">
        <v>1.4278</v>
      </c>
      <c r="F275" s="90">
        <v>45413</v>
      </c>
      <c r="G275" s="90">
        <v>51501</v>
      </c>
    </row>
    <row r="276" spans="1:7" x14ac:dyDescent="0.3">
      <c r="A276" t="s">
        <v>1218</v>
      </c>
      <c r="B276" t="s">
        <v>1219</v>
      </c>
      <c r="C276" t="s">
        <v>1043</v>
      </c>
      <c r="D276" t="s">
        <v>634</v>
      </c>
      <c r="E276" s="89">
        <v>0.95940000000000003</v>
      </c>
      <c r="F276" s="90">
        <v>45413</v>
      </c>
      <c r="G276" s="90">
        <v>51501</v>
      </c>
    </row>
    <row r="277" spans="1:7" x14ac:dyDescent="0.3">
      <c r="A277" t="s">
        <v>1220</v>
      </c>
      <c r="B277" t="s">
        <v>1219</v>
      </c>
      <c r="C277" t="s">
        <v>1043</v>
      </c>
      <c r="D277" t="s">
        <v>634</v>
      </c>
      <c r="E277" s="89">
        <v>0.95940000000000003</v>
      </c>
      <c r="F277" s="90">
        <v>45413</v>
      </c>
      <c r="G277" s="90">
        <v>51501</v>
      </c>
    </row>
    <row r="278" spans="1:7" x14ac:dyDescent="0.3">
      <c r="A278" t="s">
        <v>1218</v>
      </c>
      <c r="B278" t="s">
        <v>1219</v>
      </c>
      <c r="C278" t="s">
        <v>637</v>
      </c>
      <c r="D278" t="s">
        <v>638</v>
      </c>
      <c r="E278" s="89">
        <v>0.96399999999999997</v>
      </c>
      <c r="F278" s="90">
        <v>45413</v>
      </c>
      <c r="G278" s="90">
        <v>51501</v>
      </c>
    </row>
    <row r="279" spans="1:7" x14ac:dyDescent="0.3">
      <c r="A279" t="s">
        <v>1220</v>
      </c>
      <c r="B279" t="s">
        <v>1219</v>
      </c>
      <c r="C279" t="s">
        <v>637</v>
      </c>
      <c r="D279" t="s">
        <v>638</v>
      </c>
      <c r="E279" s="89">
        <v>1.4346000000000001</v>
      </c>
      <c r="F279" s="90">
        <v>45413</v>
      </c>
      <c r="G279" s="90">
        <v>51501</v>
      </c>
    </row>
    <row r="280" spans="1:7" x14ac:dyDescent="0.3">
      <c r="A280" t="s">
        <v>1218</v>
      </c>
      <c r="B280" t="s">
        <v>1219</v>
      </c>
      <c r="C280" t="s">
        <v>1044</v>
      </c>
      <c r="D280" t="s">
        <v>638</v>
      </c>
      <c r="E280" s="89">
        <v>0.96399999999999997</v>
      </c>
      <c r="F280" s="90">
        <v>45413</v>
      </c>
      <c r="G280" s="90">
        <v>51501</v>
      </c>
    </row>
    <row r="281" spans="1:7" x14ac:dyDescent="0.3">
      <c r="A281" t="s">
        <v>1220</v>
      </c>
      <c r="B281" t="s">
        <v>1219</v>
      </c>
      <c r="C281" t="s">
        <v>1044</v>
      </c>
      <c r="D281" t="s">
        <v>638</v>
      </c>
      <c r="E281" s="89">
        <v>0.96399999999999997</v>
      </c>
      <c r="F281" s="90">
        <v>45413</v>
      </c>
      <c r="G281" s="90">
        <v>51501</v>
      </c>
    </row>
    <row r="282" spans="1:7" x14ac:dyDescent="0.3">
      <c r="A282" t="s">
        <v>1218</v>
      </c>
      <c r="B282" t="s">
        <v>1219</v>
      </c>
      <c r="C282" t="s">
        <v>641</v>
      </c>
      <c r="D282" t="s">
        <v>642</v>
      </c>
      <c r="E282" s="89">
        <v>0.97470000000000001</v>
      </c>
      <c r="F282" s="90">
        <v>45413</v>
      </c>
      <c r="G282" s="90">
        <v>51501</v>
      </c>
    </row>
    <row r="283" spans="1:7" x14ac:dyDescent="0.3">
      <c r="A283" t="s">
        <v>1220</v>
      </c>
      <c r="B283" t="s">
        <v>1219</v>
      </c>
      <c r="C283" t="s">
        <v>641</v>
      </c>
      <c r="D283" t="s">
        <v>642</v>
      </c>
      <c r="E283" s="89">
        <v>1.4503999999999999</v>
      </c>
      <c r="F283" s="90">
        <v>45413</v>
      </c>
      <c r="G283" s="90">
        <v>51501</v>
      </c>
    </row>
    <row r="284" spans="1:7" x14ac:dyDescent="0.3">
      <c r="A284" t="s">
        <v>1218</v>
      </c>
      <c r="B284" t="s">
        <v>1219</v>
      </c>
      <c r="C284" t="s">
        <v>1045</v>
      </c>
      <c r="D284" t="s">
        <v>642</v>
      </c>
      <c r="E284" s="89">
        <v>0.97470000000000001</v>
      </c>
      <c r="F284" s="90">
        <v>45413</v>
      </c>
      <c r="G284" s="90">
        <v>51501</v>
      </c>
    </row>
    <row r="285" spans="1:7" x14ac:dyDescent="0.3">
      <c r="A285" t="s">
        <v>1220</v>
      </c>
      <c r="B285" t="s">
        <v>1219</v>
      </c>
      <c r="C285" t="s">
        <v>1045</v>
      </c>
      <c r="D285" t="s">
        <v>642</v>
      </c>
      <c r="E285" s="89">
        <v>0.97470000000000001</v>
      </c>
      <c r="F285" s="90">
        <v>45413</v>
      </c>
      <c r="G285" s="90">
        <v>51501</v>
      </c>
    </row>
    <row r="286" spans="1:7" x14ac:dyDescent="0.3">
      <c r="A286" t="s">
        <v>1218</v>
      </c>
      <c r="B286" t="s">
        <v>1219</v>
      </c>
      <c r="C286" t="s">
        <v>645</v>
      </c>
      <c r="D286" t="s">
        <v>646</v>
      </c>
      <c r="E286" s="89">
        <v>0.9899</v>
      </c>
      <c r="F286" s="90">
        <v>45413</v>
      </c>
      <c r="G286" s="90">
        <v>51501</v>
      </c>
    </row>
    <row r="287" spans="1:7" x14ac:dyDescent="0.3">
      <c r="A287" t="s">
        <v>1220</v>
      </c>
      <c r="B287" t="s">
        <v>1219</v>
      </c>
      <c r="C287" t="s">
        <v>645</v>
      </c>
      <c r="D287" t="s">
        <v>646</v>
      </c>
      <c r="E287" s="89">
        <v>1.4731000000000001</v>
      </c>
      <c r="F287" s="90">
        <v>45413</v>
      </c>
      <c r="G287" s="90">
        <v>51501</v>
      </c>
    </row>
    <row r="288" spans="1:7" x14ac:dyDescent="0.3">
      <c r="A288" t="s">
        <v>1218</v>
      </c>
      <c r="B288" t="s">
        <v>1219</v>
      </c>
      <c r="C288" t="s">
        <v>1046</v>
      </c>
      <c r="D288" t="s">
        <v>646</v>
      </c>
      <c r="E288" s="89">
        <v>0.9899</v>
      </c>
      <c r="F288" s="90">
        <v>45413</v>
      </c>
      <c r="G288" s="90">
        <v>51501</v>
      </c>
    </row>
    <row r="289" spans="1:7" x14ac:dyDescent="0.3">
      <c r="A289" t="s">
        <v>1220</v>
      </c>
      <c r="B289" t="s">
        <v>1219</v>
      </c>
      <c r="C289" t="s">
        <v>1046</v>
      </c>
      <c r="D289" t="s">
        <v>646</v>
      </c>
      <c r="E289" s="89">
        <v>0.9899</v>
      </c>
      <c r="F289" s="90">
        <v>45413</v>
      </c>
      <c r="G289" s="90">
        <v>51501</v>
      </c>
    </row>
    <row r="290" spans="1:7" x14ac:dyDescent="0.3">
      <c r="A290" t="s">
        <v>1218</v>
      </c>
      <c r="B290" t="s">
        <v>1219</v>
      </c>
      <c r="C290" t="s">
        <v>647</v>
      </c>
      <c r="D290" t="s">
        <v>648</v>
      </c>
      <c r="E290" s="89">
        <v>1.0021</v>
      </c>
      <c r="F290" s="90">
        <v>45413</v>
      </c>
      <c r="G290" s="90">
        <v>51501</v>
      </c>
    </row>
    <row r="291" spans="1:7" x14ac:dyDescent="0.3">
      <c r="A291" t="s">
        <v>1220</v>
      </c>
      <c r="B291" t="s">
        <v>1219</v>
      </c>
      <c r="C291" t="s">
        <v>647</v>
      </c>
      <c r="D291" t="s">
        <v>648</v>
      </c>
      <c r="E291" s="89">
        <v>1.4912000000000001</v>
      </c>
      <c r="F291" s="90">
        <v>45413</v>
      </c>
      <c r="G291" s="90">
        <v>51501</v>
      </c>
    </row>
    <row r="292" spans="1:7" x14ac:dyDescent="0.3">
      <c r="A292" t="s">
        <v>1218</v>
      </c>
      <c r="B292" t="s">
        <v>1219</v>
      </c>
      <c r="C292" t="s">
        <v>1047</v>
      </c>
      <c r="D292" t="s">
        <v>648</v>
      </c>
      <c r="E292" s="89">
        <v>1.0021</v>
      </c>
      <c r="F292" s="90">
        <v>45413</v>
      </c>
      <c r="G292" s="90">
        <v>51501</v>
      </c>
    </row>
    <row r="293" spans="1:7" x14ac:dyDescent="0.3">
      <c r="A293" t="s">
        <v>1220</v>
      </c>
      <c r="B293" t="s">
        <v>1219</v>
      </c>
      <c r="C293" t="s">
        <v>1047</v>
      </c>
      <c r="D293" t="s">
        <v>648</v>
      </c>
      <c r="E293" s="89">
        <v>1.0021</v>
      </c>
      <c r="F293" s="90">
        <v>45413</v>
      </c>
      <c r="G293" s="90">
        <v>51501</v>
      </c>
    </row>
    <row r="294" spans="1:7" x14ac:dyDescent="0.3">
      <c r="A294" t="s">
        <v>1218</v>
      </c>
      <c r="B294" t="s">
        <v>1219</v>
      </c>
      <c r="C294" t="s">
        <v>649</v>
      </c>
      <c r="D294" t="s">
        <v>650</v>
      </c>
      <c r="E294" s="89">
        <v>1.0051000000000001</v>
      </c>
      <c r="F294" s="90">
        <v>45413</v>
      </c>
      <c r="G294" s="90">
        <v>51501</v>
      </c>
    </row>
    <row r="295" spans="1:7" x14ac:dyDescent="0.3">
      <c r="A295" t="s">
        <v>1220</v>
      </c>
      <c r="B295" t="s">
        <v>1219</v>
      </c>
      <c r="C295" t="s">
        <v>649</v>
      </c>
      <c r="D295" t="s">
        <v>650</v>
      </c>
      <c r="E295" s="89">
        <v>1.4958</v>
      </c>
      <c r="F295" s="90">
        <v>45413</v>
      </c>
      <c r="G295" s="90">
        <v>51501</v>
      </c>
    </row>
    <row r="296" spans="1:7" x14ac:dyDescent="0.3">
      <c r="A296" t="s">
        <v>1218</v>
      </c>
      <c r="B296" t="s">
        <v>1219</v>
      </c>
      <c r="C296" t="s">
        <v>1048</v>
      </c>
      <c r="D296" t="s">
        <v>650</v>
      </c>
      <c r="E296" s="89">
        <v>1.0051000000000001</v>
      </c>
      <c r="F296" s="90">
        <v>45413</v>
      </c>
      <c r="G296" s="90">
        <v>51501</v>
      </c>
    </row>
    <row r="297" spans="1:7" x14ac:dyDescent="0.3">
      <c r="A297" t="s">
        <v>1220</v>
      </c>
      <c r="B297" t="s">
        <v>1219</v>
      </c>
      <c r="C297" t="s">
        <v>1048</v>
      </c>
      <c r="D297" t="s">
        <v>650</v>
      </c>
      <c r="E297" s="89">
        <v>1.0051000000000001</v>
      </c>
      <c r="F297" s="90">
        <v>45413</v>
      </c>
      <c r="G297" s="90">
        <v>51501</v>
      </c>
    </row>
    <row r="298" spans="1:7" x14ac:dyDescent="0.3">
      <c r="A298" t="s">
        <v>1218</v>
      </c>
      <c r="B298" t="s">
        <v>1219</v>
      </c>
      <c r="C298" t="s">
        <v>511</v>
      </c>
      <c r="D298" t="s">
        <v>512</v>
      </c>
      <c r="E298" s="89">
        <v>2.0615999999999999</v>
      </c>
      <c r="F298" s="90">
        <v>45413</v>
      </c>
      <c r="G298" s="90">
        <v>51501</v>
      </c>
    </row>
    <row r="299" spans="1:7" x14ac:dyDescent="0.3">
      <c r="A299" t="s">
        <v>1220</v>
      </c>
      <c r="B299" t="s">
        <v>1219</v>
      </c>
      <c r="C299" t="s">
        <v>511</v>
      </c>
      <c r="D299" t="s">
        <v>512</v>
      </c>
      <c r="E299" s="89">
        <v>3.0525000000000002</v>
      </c>
      <c r="F299" s="90">
        <v>45413</v>
      </c>
      <c r="G299" s="90">
        <v>51501</v>
      </c>
    </row>
    <row r="300" spans="1:7" x14ac:dyDescent="0.3">
      <c r="A300" t="s">
        <v>1218</v>
      </c>
      <c r="B300" t="s">
        <v>1219</v>
      </c>
      <c r="C300" t="s">
        <v>1049</v>
      </c>
      <c r="D300" t="s">
        <v>512</v>
      </c>
      <c r="E300" s="89">
        <v>2.0615999999999999</v>
      </c>
      <c r="F300" s="90">
        <v>45413</v>
      </c>
      <c r="G300" s="90">
        <v>51501</v>
      </c>
    </row>
    <row r="301" spans="1:7" x14ac:dyDescent="0.3">
      <c r="A301" t="s">
        <v>1220</v>
      </c>
      <c r="B301" t="s">
        <v>1219</v>
      </c>
      <c r="C301" t="s">
        <v>1049</v>
      </c>
      <c r="D301" t="s">
        <v>512</v>
      </c>
      <c r="E301" s="89">
        <v>2.0615999999999999</v>
      </c>
      <c r="F301" s="90">
        <v>45413</v>
      </c>
      <c r="G301" s="90">
        <v>51501</v>
      </c>
    </row>
    <row r="302" spans="1:7" x14ac:dyDescent="0.3">
      <c r="A302" t="s">
        <v>1218</v>
      </c>
      <c r="B302" t="s">
        <v>1219</v>
      </c>
      <c r="C302" t="s">
        <v>519</v>
      </c>
      <c r="D302" t="s">
        <v>520</v>
      </c>
      <c r="E302" s="89">
        <v>2.2677999999999998</v>
      </c>
      <c r="F302" s="90">
        <v>45413</v>
      </c>
      <c r="G302" s="90">
        <v>51501</v>
      </c>
    </row>
    <row r="303" spans="1:7" x14ac:dyDescent="0.3">
      <c r="A303" t="s">
        <v>1220</v>
      </c>
      <c r="B303" t="s">
        <v>1219</v>
      </c>
      <c r="C303" t="s">
        <v>519</v>
      </c>
      <c r="D303" t="s">
        <v>520</v>
      </c>
      <c r="E303" s="89">
        <v>3.3578000000000001</v>
      </c>
      <c r="F303" s="90">
        <v>45413</v>
      </c>
      <c r="G303" s="90">
        <v>51501</v>
      </c>
    </row>
    <row r="304" spans="1:7" x14ac:dyDescent="0.3">
      <c r="A304" t="s">
        <v>1218</v>
      </c>
      <c r="B304" t="s">
        <v>1219</v>
      </c>
      <c r="C304" t="s">
        <v>1050</v>
      </c>
      <c r="D304" t="s">
        <v>520</v>
      </c>
      <c r="E304" s="89">
        <v>2.2677999999999998</v>
      </c>
      <c r="F304" s="90">
        <v>45413</v>
      </c>
      <c r="G304" s="90">
        <v>51501</v>
      </c>
    </row>
    <row r="305" spans="1:7" x14ac:dyDescent="0.3">
      <c r="A305" t="s">
        <v>1220</v>
      </c>
      <c r="B305" t="s">
        <v>1219</v>
      </c>
      <c r="C305" t="s">
        <v>1050</v>
      </c>
      <c r="D305" t="s">
        <v>520</v>
      </c>
      <c r="E305" s="89">
        <v>2.2677999999999998</v>
      </c>
      <c r="F305" s="90">
        <v>45413</v>
      </c>
      <c r="G305" s="90">
        <v>51501</v>
      </c>
    </row>
    <row r="306" spans="1:7" x14ac:dyDescent="0.3">
      <c r="A306" t="s">
        <v>1218</v>
      </c>
      <c r="B306" t="s">
        <v>1219</v>
      </c>
      <c r="C306" t="s">
        <v>527</v>
      </c>
      <c r="D306" t="s">
        <v>528</v>
      </c>
      <c r="E306" s="89">
        <v>2.7212999999999998</v>
      </c>
      <c r="F306" s="90">
        <v>45413</v>
      </c>
      <c r="G306" s="90">
        <v>51501</v>
      </c>
    </row>
    <row r="307" spans="1:7" x14ac:dyDescent="0.3">
      <c r="A307" t="s">
        <v>1220</v>
      </c>
      <c r="B307" t="s">
        <v>1219</v>
      </c>
      <c r="C307" t="s">
        <v>527</v>
      </c>
      <c r="D307" t="s">
        <v>528</v>
      </c>
      <c r="E307" s="89">
        <v>4.0293000000000001</v>
      </c>
      <c r="F307" s="90">
        <v>45413</v>
      </c>
      <c r="G307" s="90">
        <v>51501</v>
      </c>
    </row>
    <row r="308" spans="1:7" x14ac:dyDescent="0.3">
      <c r="A308" t="s">
        <v>1218</v>
      </c>
      <c r="B308" t="s">
        <v>1219</v>
      </c>
      <c r="C308" t="s">
        <v>1051</v>
      </c>
      <c r="D308" t="s">
        <v>528</v>
      </c>
      <c r="E308" s="89">
        <v>2.7212999999999998</v>
      </c>
      <c r="F308" s="90">
        <v>45413</v>
      </c>
      <c r="G308" s="90">
        <v>51501</v>
      </c>
    </row>
    <row r="309" spans="1:7" x14ac:dyDescent="0.3">
      <c r="A309" t="s">
        <v>1220</v>
      </c>
      <c r="B309" t="s">
        <v>1219</v>
      </c>
      <c r="C309" t="s">
        <v>1051</v>
      </c>
      <c r="D309" t="s">
        <v>528</v>
      </c>
      <c r="E309" s="89">
        <v>2.7212999999999998</v>
      </c>
      <c r="F309" s="90">
        <v>45413</v>
      </c>
      <c r="G309" s="90">
        <v>51501</v>
      </c>
    </row>
    <row r="310" spans="1:7" x14ac:dyDescent="0.3">
      <c r="A310" t="s">
        <v>1218</v>
      </c>
      <c r="B310" t="s">
        <v>1219</v>
      </c>
      <c r="C310" t="s">
        <v>543</v>
      </c>
      <c r="D310" t="s">
        <v>544</v>
      </c>
      <c r="E310" s="89">
        <v>2.8119999999999998</v>
      </c>
      <c r="F310" s="90">
        <v>45413</v>
      </c>
      <c r="G310" s="90">
        <v>51501</v>
      </c>
    </row>
    <row r="311" spans="1:7" x14ac:dyDescent="0.3">
      <c r="A311" t="s">
        <v>1220</v>
      </c>
      <c r="B311" t="s">
        <v>1219</v>
      </c>
      <c r="C311" t="s">
        <v>543</v>
      </c>
      <c r="D311" t="s">
        <v>544</v>
      </c>
      <c r="E311" s="89">
        <v>4.1635999999999997</v>
      </c>
      <c r="F311" s="90">
        <v>45413</v>
      </c>
      <c r="G311" s="90">
        <v>51501</v>
      </c>
    </row>
    <row r="312" spans="1:7" x14ac:dyDescent="0.3">
      <c r="A312" t="s">
        <v>1218</v>
      </c>
      <c r="B312" t="s">
        <v>1219</v>
      </c>
      <c r="C312" t="s">
        <v>1052</v>
      </c>
      <c r="D312" t="s">
        <v>544</v>
      </c>
      <c r="E312" s="89">
        <v>2.8119999999999998</v>
      </c>
      <c r="F312" s="90">
        <v>45413</v>
      </c>
      <c r="G312" s="90">
        <v>51501</v>
      </c>
    </row>
    <row r="313" spans="1:7" x14ac:dyDescent="0.3">
      <c r="A313" t="s">
        <v>1220</v>
      </c>
      <c r="B313" t="s">
        <v>1219</v>
      </c>
      <c r="C313" t="s">
        <v>1052</v>
      </c>
      <c r="D313" t="s">
        <v>544</v>
      </c>
      <c r="E313" s="89">
        <v>2.8119999999999998</v>
      </c>
      <c r="F313" s="90">
        <v>45413</v>
      </c>
      <c r="G313" s="90">
        <v>51501</v>
      </c>
    </row>
    <row r="314" spans="1:7" x14ac:dyDescent="0.3">
      <c r="A314" t="s">
        <v>1218</v>
      </c>
      <c r="B314" t="s">
        <v>1219</v>
      </c>
      <c r="C314" t="s">
        <v>551</v>
      </c>
      <c r="D314" t="s">
        <v>552</v>
      </c>
      <c r="E314" s="89">
        <v>2.9275000000000002</v>
      </c>
      <c r="F314" s="90">
        <v>45413</v>
      </c>
      <c r="G314" s="90">
        <v>51501</v>
      </c>
    </row>
    <row r="315" spans="1:7" x14ac:dyDescent="0.3">
      <c r="A315" t="s">
        <v>1220</v>
      </c>
      <c r="B315" t="s">
        <v>1219</v>
      </c>
      <c r="C315" t="s">
        <v>551</v>
      </c>
      <c r="D315" t="s">
        <v>552</v>
      </c>
      <c r="E315" s="89">
        <v>4.3346</v>
      </c>
      <c r="F315" s="90">
        <v>45413</v>
      </c>
      <c r="G315" s="90">
        <v>51501</v>
      </c>
    </row>
    <row r="316" spans="1:7" x14ac:dyDescent="0.3">
      <c r="A316" t="s">
        <v>1218</v>
      </c>
      <c r="B316" t="s">
        <v>1219</v>
      </c>
      <c r="C316" t="s">
        <v>1053</v>
      </c>
      <c r="D316" t="s">
        <v>552</v>
      </c>
      <c r="E316" s="89">
        <v>2.9275000000000002</v>
      </c>
      <c r="F316" s="90">
        <v>45413</v>
      </c>
      <c r="G316" s="90">
        <v>51501</v>
      </c>
    </row>
    <row r="317" spans="1:7" x14ac:dyDescent="0.3">
      <c r="A317" t="s">
        <v>1220</v>
      </c>
      <c r="B317" t="s">
        <v>1219</v>
      </c>
      <c r="C317" t="s">
        <v>1053</v>
      </c>
      <c r="D317" t="s">
        <v>552</v>
      </c>
      <c r="E317" s="89">
        <v>2.9275000000000002</v>
      </c>
      <c r="F317" s="90">
        <v>45413</v>
      </c>
      <c r="G317" s="90">
        <v>51501</v>
      </c>
    </row>
    <row r="318" spans="1:7" x14ac:dyDescent="0.3">
      <c r="A318" t="s">
        <v>1218</v>
      </c>
      <c r="B318" t="s">
        <v>1219</v>
      </c>
      <c r="C318" t="s">
        <v>567</v>
      </c>
      <c r="D318" t="s">
        <v>568</v>
      </c>
      <c r="E318" s="89">
        <v>3.0924</v>
      </c>
      <c r="F318" s="90">
        <v>45413</v>
      </c>
      <c r="G318" s="90">
        <v>51501</v>
      </c>
    </row>
    <row r="319" spans="1:7" x14ac:dyDescent="0.3">
      <c r="A319" t="s">
        <v>1220</v>
      </c>
      <c r="B319" t="s">
        <v>1219</v>
      </c>
      <c r="C319" t="s">
        <v>567</v>
      </c>
      <c r="D319" t="s">
        <v>568</v>
      </c>
      <c r="E319" s="89">
        <v>4.5788000000000002</v>
      </c>
      <c r="F319" s="90">
        <v>45413</v>
      </c>
      <c r="G319" s="90">
        <v>51501</v>
      </c>
    </row>
    <row r="320" spans="1:7" x14ac:dyDescent="0.3">
      <c r="A320" t="s">
        <v>1218</v>
      </c>
      <c r="B320" t="s">
        <v>1219</v>
      </c>
      <c r="C320" t="s">
        <v>1054</v>
      </c>
      <c r="D320" t="s">
        <v>568</v>
      </c>
      <c r="E320" s="89">
        <v>3.0924</v>
      </c>
      <c r="F320" s="90">
        <v>45413</v>
      </c>
      <c r="G320" s="90">
        <v>51501</v>
      </c>
    </row>
    <row r="321" spans="1:7" x14ac:dyDescent="0.3">
      <c r="A321" t="s">
        <v>1220</v>
      </c>
      <c r="B321" t="s">
        <v>1219</v>
      </c>
      <c r="C321" t="s">
        <v>1054</v>
      </c>
      <c r="D321" t="s">
        <v>568</v>
      </c>
      <c r="E321" s="89">
        <v>3.0924</v>
      </c>
      <c r="F321" s="90">
        <v>45413</v>
      </c>
      <c r="G321" s="90">
        <v>51501</v>
      </c>
    </row>
    <row r="322" spans="1:7" x14ac:dyDescent="0.3">
      <c r="A322" t="s">
        <v>1218</v>
      </c>
      <c r="B322" t="s">
        <v>1219</v>
      </c>
      <c r="C322" t="s">
        <v>593</v>
      </c>
      <c r="D322" t="s">
        <v>594</v>
      </c>
      <c r="E322" s="89">
        <v>4.1231999999999998</v>
      </c>
      <c r="F322" s="90">
        <v>45413</v>
      </c>
      <c r="G322" s="90">
        <v>51501</v>
      </c>
    </row>
    <row r="323" spans="1:7" x14ac:dyDescent="0.3">
      <c r="A323" t="s">
        <v>1220</v>
      </c>
      <c r="B323" t="s">
        <v>1219</v>
      </c>
      <c r="C323" t="s">
        <v>593</v>
      </c>
      <c r="D323" t="s">
        <v>594</v>
      </c>
      <c r="E323" s="89">
        <v>6.1050000000000004</v>
      </c>
      <c r="F323" s="90">
        <v>45413</v>
      </c>
      <c r="G323" s="90">
        <v>51501</v>
      </c>
    </row>
    <row r="324" spans="1:7" x14ac:dyDescent="0.3">
      <c r="A324" t="s">
        <v>1218</v>
      </c>
      <c r="B324" t="s">
        <v>1219</v>
      </c>
      <c r="C324" t="s">
        <v>1055</v>
      </c>
      <c r="D324" t="s">
        <v>594</v>
      </c>
      <c r="E324" s="89">
        <v>4.1231999999999998</v>
      </c>
      <c r="F324" s="90">
        <v>45413</v>
      </c>
      <c r="G324" s="90">
        <v>51501</v>
      </c>
    </row>
    <row r="325" spans="1:7" x14ac:dyDescent="0.3">
      <c r="A325" t="s">
        <v>1220</v>
      </c>
      <c r="B325" t="s">
        <v>1219</v>
      </c>
      <c r="C325" t="s">
        <v>1055</v>
      </c>
      <c r="D325" t="s">
        <v>594</v>
      </c>
      <c r="E325" s="89">
        <v>4.1231999999999998</v>
      </c>
      <c r="F325" s="90">
        <v>45413</v>
      </c>
      <c r="G325" s="90">
        <v>51501</v>
      </c>
    </row>
    <row r="326" spans="1:7" x14ac:dyDescent="0.3">
      <c r="A326" t="s">
        <v>1218</v>
      </c>
      <c r="B326" t="s">
        <v>1219</v>
      </c>
      <c r="C326" t="s">
        <v>651</v>
      </c>
      <c r="D326" t="s">
        <v>652</v>
      </c>
      <c r="E326" s="89">
        <v>1.0812999999999999</v>
      </c>
      <c r="F326" s="90">
        <v>45413</v>
      </c>
      <c r="G326" s="90">
        <v>51501</v>
      </c>
    </row>
    <row r="327" spans="1:7" x14ac:dyDescent="0.3">
      <c r="A327" t="s">
        <v>1220</v>
      </c>
      <c r="B327" t="s">
        <v>1219</v>
      </c>
      <c r="C327" t="s">
        <v>651</v>
      </c>
      <c r="D327" t="s">
        <v>652</v>
      </c>
      <c r="E327" s="89">
        <v>1.6091</v>
      </c>
      <c r="F327" s="90">
        <v>45413</v>
      </c>
      <c r="G327" s="90">
        <v>51501</v>
      </c>
    </row>
    <row r="328" spans="1:7" x14ac:dyDescent="0.3">
      <c r="A328" t="s">
        <v>1218</v>
      </c>
      <c r="B328" t="s">
        <v>1219</v>
      </c>
      <c r="C328" t="s">
        <v>1056</v>
      </c>
      <c r="D328" t="s">
        <v>652</v>
      </c>
      <c r="E328" s="89">
        <v>1.0812999999999999</v>
      </c>
      <c r="F328" s="90">
        <v>45413</v>
      </c>
      <c r="G328" s="90">
        <v>51501</v>
      </c>
    </row>
    <row r="329" spans="1:7" x14ac:dyDescent="0.3">
      <c r="A329" t="s">
        <v>1220</v>
      </c>
      <c r="B329" t="s">
        <v>1219</v>
      </c>
      <c r="C329" t="s">
        <v>1056</v>
      </c>
      <c r="D329" t="s">
        <v>652</v>
      </c>
      <c r="E329" s="89">
        <v>1.0812999999999999</v>
      </c>
      <c r="F329" s="90">
        <v>45413</v>
      </c>
      <c r="G329" s="90">
        <v>51501</v>
      </c>
    </row>
    <row r="330" spans="1:7" x14ac:dyDescent="0.3">
      <c r="A330" t="s">
        <v>1218</v>
      </c>
      <c r="B330" t="s">
        <v>1219</v>
      </c>
      <c r="C330" t="s">
        <v>653</v>
      </c>
      <c r="D330" t="s">
        <v>654</v>
      </c>
      <c r="E330" s="89">
        <v>1.1422000000000001</v>
      </c>
      <c r="F330" s="90">
        <v>45413</v>
      </c>
      <c r="G330" s="90">
        <v>51501</v>
      </c>
    </row>
    <row r="331" spans="1:7" x14ac:dyDescent="0.3">
      <c r="A331" t="s">
        <v>1220</v>
      </c>
      <c r="B331" t="s">
        <v>1219</v>
      </c>
      <c r="C331" t="s">
        <v>653</v>
      </c>
      <c r="D331" t="s">
        <v>654</v>
      </c>
      <c r="E331" s="89">
        <v>1.6997</v>
      </c>
      <c r="F331" s="90">
        <v>45413</v>
      </c>
      <c r="G331" s="90">
        <v>51501</v>
      </c>
    </row>
    <row r="332" spans="1:7" x14ac:dyDescent="0.3">
      <c r="A332" t="s">
        <v>1218</v>
      </c>
      <c r="B332" t="s">
        <v>1219</v>
      </c>
      <c r="C332" t="s">
        <v>1057</v>
      </c>
      <c r="D332" t="s">
        <v>654</v>
      </c>
      <c r="E332" s="89">
        <v>1.1422000000000001</v>
      </c>
      <c r="F332" s="90">
        <v>45413</v>
      </c>
      <c r="G332" s="90">
        <v>51501</v>
      </c>
    </row>
    <row r="333" spans="1:7" x14ac:dyDescent="0.3">
      <c r="A333" t="s">
        <v>1220</v>
      </c>
      <c r="B333" t="s">
        <v>1219</v>
      </c>
      <c r="C333" t="s">
        <v>1057</v>
      </c>
      <c r="D333" t="s">
        <v>654</v>
      </c>
      <c r="E333" s="89">
        <v>1.1422000000000001</v>
      </c>
      <c r="F333" s="90">
        <v>45413</v>
      </c>
      <c r="G333" s="90">
        <v>51501</v>
      </c>
    </row>
    <row r="334" spans="1:7" x14ac:dyDescent="0.3">
      <c r="A334" t="s">
        <v>1218</v>
      </c>
      <c r="B334" t="s">
        <v>1219</v>
      </c>
      <c r="C334" t="s">
        <v>655</v>
      </c>
      <c r="D334" t="s">
        <v>656</v>
      </c>
      <c r="E334" s="89">
        <v>1.165</v>
      </c>
      <c r="F334" s="90">
        <v>45413</v>
      </c>
      <c r="G334" s="90">
        <v>51501</v>
      </c>
    </row>
    <row r="335" spans="1:7" x14ac:dyDescent="0.3">
      <c r="A335" t="s">
        <v>1220</v>
      </c>
      <c r="B335" t="s">
        <v>1219</v>
      </c>
      <c r="C335" t="s">
        <v>655</v>
      </c>
      <c r="D335" t="s">
        <v>656</v>
      </c>
      <c r="E335" s="89">
        <v>1.7337</v>
      </c>
      <c r="F335" s="90">
        <v>45413</v>
      </c>
      <c r="G335" s="90">
        <v>51501</v>
      </c>
    </row>
    <row r="336" spans="1:7" x14ac:dyDescent="0.3">
      <c r="A336" t="s">
        <v>1218</v>
      </c>
      <c r="B336" t="s">
        <v>1219</v>
      </c>
      <c r="C336" t="s">
        <v>1058</v>
      </c>
      <c r="D336" t="s">
        <v>656</v>
      </c>
      <c r="E336" s="89">
        <v>1.165</v>
      </c>
      <c r="F336" s="90">
        <v>45413</v>
      </c>
      <c r="G336" s="90">
        <v>51501</v>
      </c>
    </row>
    <row r="337" spans="1:7" x14ac:dyDescent="0.3">
      <c r="A337" t="s">
        <v>1220</v>
      </c>
      <c r="B337" t="s">
        <v>1219</v>
      </c>
      <c r="C337" t="s">
        <v>1058</v>
      </c>
      <c r="D337" t="s">
        <v>656</v>
      </c>
      <c r="E337" s="89">
        <v>1.165</v>
      </c>
      <c r="F337" s="90">
        <v>45413</v>
      </c>
      <c r="G337" s="90">
        <v>51501</v>
      </c>
    </row>
    <row r="338" spans="1:7" x14ac:dyDescent="0.3">
      <c r="A338" t="s">
        <v>1218</v>
      </c>
      <c r="B338" t="s">
        <v>1219</v>
      </c>
      <c r="C338" t="s">
        <v>587</v>
      </c>
      <c r="D338" t="s">
        <v>588</v>
      </c>
      <c r="E338" s="89">
        <v>3.6284000000000001</v>
      </c>
      <c r="F338" s="90">
        <v>45413</v>
      </c>
      <c r="G338" s="90">
        <v>51501</v>
      </c>
    </row>
    <row r="339" spans="1:7" x14ac:dyDescent="0.3">
      <c r="A339" t="s">
        <v>1220</v>
      </c>
      <c r="B339" t="s">
        <v>1219</v>
      </c>
      <c r="C339" t="s">
        <v>587</v>
      </c>
      <c r="D339" t="s">
        <v>588</v>
      </c>
      <c r="E339" s="89">
        <v>5.3723999999999998</v>
      </c>
      <c r="F339" s="90">
        <v>45413</v>
      </c>
      <c r="G339" s="90">
        <v>51501</v>
      </c>
    </row>
    <row r="340" spans="1:7" x14ac:dyDescent="0.3">
      <c r="A340" t="s">
        <v>1218</v>
      </c>
      <c r="B340" t="s">
        <v>1219</v>
      </c>
      <c r="C340" t="s">
        <v>1059</v>
      </c>
      <c r="D340" t="s">
        <v>588</v>
      </c>
      <c r="E340" s="89">
        <v>3.6284000000000001</v>
      </c>
      <c r="F340" s="90">
        <v>45413</v>
      </c>
      <c r="G340" s="90">
        <v>51501</v>
      </c>
    </row>
    <row r="341" spans="1:7" x14ac:dyDescent="0.3">
      <c r="A341" t="s">
        <v>1220</v>
      </c>
      <c r="B341" t="s">
        <v>1219</v>
      </c>
      <c r="C341" t="s">
        <v>1059</v>
      </c>
      <c r="D341" t="s">
        <v>588</v>
      </c>
      <c r="E341" s="89">
        <v>3.6284000000000001</v>
      </c>
      <c r="F341" s="90">
        <v>45413</v>
      </c>
      <c r="G341" s="90">
        <v>51501</v>
      </c>
    </row>
    <row r="342" spans="1:7" x14ac:dyDescent="0.3">
      <c r="A342" t="s">
        <v>1218</v>
      </c>
      <c r="B342" t="s">
        <v>1219</v>
      </c>
      <c r="C342" t="s">
        <v>903</v>
      </c>
      <c r="D342" t="s">
        <v>904</v>
      </c>
      <c r="E342" s="89">
        <v>5.3167999999999997</v>
      </c>
      <c r="F342" s="90">
        <v>45413</v>
      </c>
      <c r="G342" s="90">
        <v>51501</v>
      </c>
    </row>
    <row r="343" spans="1:7" x14ac:dyDescent="0.3">
      <c r="A343" t="s">
        <v>1220</v>
      </c>
      <c r="B343" t="s">
        <v>1219</v>
      </c>
      <c r="C343" t="s">
        <v>903</v>
      </c>
      <c r="D343" t="s">
        <v>904</v>
      </c>
      <c r="E343" s="89">
        <v>7.8624000000000001</v>
      </c>
      <c r="F343" s="90">
        <v>45413</v>
      </c>
      <c r="G343" s="90">
        <v>51501</v>
      </c>
    </row>
    <row r="344" spans="1:7" x14ac:dyDescent="0.3">
      <c r="A344" t="s">
        <v>1218</v>
      </c>
      <c r="B344" t="s">
        <v>1219</v>
      </c>
      <c r="C344" t="s">
        <v>1060</v>
      </c>
      <c r="D344" t="s">
        <v>904</v>
      </c>
      <c r="E344" s="89">
        <v>5.3167999999999997</v>
      </c>
      <c r="F344" s="90">
        <v>45413</v>
      </c>
      <c r="G344" s="90">
        <v>51501</v>
      </c>
    </row>
    <row r="345" spans="1:7" x14ac:dyDescent="0.3">
      <c r="A345" t="s">
        <v>1220</v>
      </c>
      <c r="B345" t="s">
        <v>1219</v>
      </c>
      <c r="C345" t="s">
        <v>1060</v>
      </c>
      <c r="D345" t="s">
        <v>904</v>
      </c>
      <c r="E345" s="89">
        <v>5.3167999999999997</v>
      </c>
      <c r="F345" s="90">
        <v>45413</v>
      </c>
      <c r="G345" s="90">
        <v>51501</v>
      </c>
    </row>
    <row r="346" spans="1:7" x14ac:dyDescent="0.3">
      <c r="A346" t="s">
        <v>1218</v>
      </c>
      <c r="B346" t="s">
        <v>1219</v>
      </c>
      <c r="C346" t="s">
        <v>657</v>
      </c>
      <c r="D346" t="s">
        <v>658</v>
      </c>
      <c r="E346" s="89">
        <v>1.3843000000000001</v>
      </c>
      <c r="F346" s="90">
        <v>45413</v>
      </c>
      <c r="G346" s="90">
        <v>51501</v>
      </c>
    </row>
    <row r="347" spans="1:7" x14ac:dyDescent="0.3">
      <c r="A347" t="s">
        <v>1220</v>
      </c>
      <c r="B347" t="s">
        <v>1219</v>
      </c>
      <c r="C347" t="s">
        <v>657</v>
      </c>
      <c r="D347" t="s">
        <v>658</v>
      </c>
      <c r="E347" s="89">
        <v>2.0600999999999998</v>
      </c>
      <c r="F347" s="90">
        <v>45413</v>
      </c>
      <c r="G347" s="90">
        <v>51501</v>
      </c>
    </row>
    <row r="348" spans="1:7" x14ac:dyDescent="0.3">
      <c r="A348" t="s">
        <v>1218</v>
      </c>
      <c r="B348" t="s">
        <v>1219</v>
      </c>
      <c r="C348" t="s">
        <v>1061</v>
      </c>
      <c r="D348" t="s">
        <v>658</v>
      </c>
      <c r="E348" s="89">
        <v>1.3843000000000001</v>
      </c>
      <c r="F348" s="90">
        <v>45413</v>
      </c>
      <c r="G348" s="90">
        <v>51501</v>
      </c>
    </row>
    <row r="349" spans="1:7" x14ac:dyDescent="0.3">
      <c r="A349" t="s">
        <v>1220</v>
      </c>
      <c r="B349" t="s">
        <v>1219</v>
      </c>
      <c r="C349" t="s">
        <v>1061</v>
      </c>
      <c r="D349" t="s">
        <v>658</v>
      </c>
      <c r="E349" s="89">
        <v>1.3843000000000001</v>
      </c>
      <c r="F349" s="90">
        <v>45413</v>
      </c>
      <c r="G349" s="90">
        <v>51501</v>
      </c>
    </row>
    <row r="350" spans="1:7" x14ac:dyDescent="0.3">
      <c r="A350" t="s">
        <v>1218</v>
      </c>
      <c r="B350" t="s">
        <v>1219</v>
      </c>
      <c r="C350" t="s">
        <v>659</v>
      </c>
      <c r="D350" t="s">
        <v>660</v>
      </c>
      <c r="E350" s="89">
        <v>1.4407000000000001</v>
      </c>
      <c r="F350" s="90">
        <v>45413</v>
      </c>
      <c r="G350" s="90">
        <v>51501</v>
      </c>
    </row>
    <row r="351" spans="1:7" x14ac:dyDescent="0.3">
      <c r="A351" t="s">
        <v>1220</v>
      </c>
      <c r="B351" t="s">
        <v>1219</v>
      </c>
      <c r="C351" t="s">
        <v>659</v>
      </c>
      <c r="D351" t="s">
        <v>660</v>
      </c>
      <c r="E351" s="89">
        <v>2.1438999999999999</v>
      </c>
      <c r="F351" s="90">
        <v>45413</v>
      </c>
      <c r="G351" s="90">
        <v>51501</v>
      </c>
    </row>
    <row r="352" spans="1:7" x14ac:dyDescent="0.3">
      <c r="A352" t="s">
        <v>1218</v>
      </c>
      <c r="B352" t="s">
        <v>1219</v>
      </c>
      <c r="C352" t="s">
        <v>1062</v>
      </c>
      <c r="D352" t="s">
        <v>660</v>
      </c>
      <c r="E352" s="89">
        <v>1.4407000000000001</v>
      </c>
      <c r="F352" s="90">
        <v>45413</v>
      </c>
      <c r="G352" s="90">
        <v>51501</v>
      </c>
    </row>
    <row r="353" spans="1:7" x14ac:dyDescent="0.3">
      <c r="A353" t="s">
        <v>1220</v>
      </c>
      <c r="B353" t="s">
        <v>1219</v>
      </c>
      <c r="C353" t="s">
        <v>1062</v>
      </c>
      <c r="D353" t="s">
        <v>660</v>
      </c>
      <c r="E353" s="89">
        <v>1.4407000000000001</v>
      </c>
      <c r="F353" s="90">
        <v>45413</v>
      </c>
      <c r="G353" s="90">
        <v>51501</v>
      </c>
    </row>
    <row r="354" spans="1:7" x14ac:dyDescent="0.3">
      <c r="A354" t="s">
        <v>1218</v>
      </c>
      <c r="B354" t="s">
        <v>1219</v>
      </c>
      <c r="C354" t="s">
        <v>881</v>
      </c>
      <c r="D354" t="s">
        <v>882</v>
      </c>
      <c r="E354" s="89">
        <v>3.5733999999999999</v>
      </c>
      <c r="F354" s="90">
        <v>45413</v>
      </c>
      <c r="G354" s="90">
        <v>51501</v>
      </c>
    </row>
    <row r="355" spans="1:7" x14ac:dyDescent="0.3">
      <c r="A355" t="s">
        <v>1220</v>
      </c>
      <c r="B355" t="s">
        <v>1219</v>
      </c>
      <c r="C355" t="s">
        <v>881</v>
      </c>
      <c r="D355" t="s">
        <v>882</v>
      </c>
      <c r="E355" s="89">
        <v>5.2910000000000004</v>
      </c>
      <c r="F355" s="90">
        <v>45413</v>
      </c>
      <c r="G355" s="90">
        <v>51501</v>
      </c>
    </row>
    <row r="356" spans="1:7" x14ac:dyDescent="0.3">
      <c r="A356" t="s">
        <v>1218</v>
      </c>
      <c r="B356" t="s">
        <v>1219</v>
      </c>
      <c r="C356" t="s">
        <v>1063</v>
      </c>
      <c r="D356" t="s">
        <v>882</v>
      </c>
      <c r="E356" s="89">
        <v>3.5733999999999999</v>
      </c>
      <c r="F356" s="90">
        <v>45413</v>
      </c>
      <c r="G356" s="90">
        <v>51501</v>
      </c>
    </row>
    <row r="357" spans="1:7" x14ac:dyDescent="0.3">
      <c r="A357" t="s">
        <v>1220</v>
      </c>
      <c r="B357" t="s">
        <v>1219</v>
      </c>
      <c r="C357" t="s">
        <v>1063</v>
      </c>
      <c r="D357" t="s">
        <v>882</v>
      </c>
      <c r="E357" s="89">
        <v>3.5733999999999999</v>
      </c>
      <c r="F357" s="90">
        <v>45413</v>
      </c>
      <c r="G357" s="90">
        <v>51501</v>
      </c>
    </row>
    <row r="358" spans="1:7" x14ac:dyDescent="0.3">
      <c r="A358" t="s">
        <v>1218</v>
      </c>
      <c r="B358" t="s">
        <v>1219</v>
      </c>
      <c r="C358" t="s">
        <v>885</v>
      </c>
      <c r="D358" t="s">
        <v>886</v>
      </c>
      <c r="E358" s="89">
        <v>10.3279</v>
      </c>
      <c r="F358" s="90">
        <v>45413</v>
      </c>
      <c r="G358" s="90">
        <v>51501</v>
      </c>
    </row>
    <row r="359" spans="1:7" x14ac:dyDescent="0.3">
      <c r="A359" t="s">
        <v>1220</v>
      </c>
      <c r="B359" t="s">
        <v>1219</v>
      </c>
      <c r="C359" t="s">
        <v>885</v>
      </c>
      <c r="D359" t="s">
        <v>886</v>
      </c>
      <c r="E359" s="89">
        <v>15.2727</v>
      </c>
      <c r="F359" s="90">
        <v>45413</v>
      </c>
      <c r="G359" s="90">
        <v>51501</v>
      </c>
    </row>
    <row r="360" spans="1:7" x14ac:dyDescent="0.3">
      <c r="A360" t="s">
        <v>1218</v>
      </c>
      <c r="B360" t="s">
        <v>1219</v>
      </c>
      <c r="C360" t="s">
        <v>1064</v>
      </c>
      <c r="D360" t="s">
        <v>886</v>
      </c>
      <c r="E360" s="89">
        <v>10.3279</v>
      </c>
      <c r="F360" s="90">
        <v>45413</v>
      </c>
      <c r="G360" s="90">
        <v>51501</v>
      </c>
    </row>
    <row r="361" spans="1:7" x14ac:dyDescent="0.3">
      <c r="A361" t="s">
        <v>1220</v>
      </c>
      <c r="B361" t="s">
        <v>1219</v>
      </c>
      <c r="C361" t="s">
        <v>1064</v>
      </c>
      <c r="D361" t="s">
        <v>886</v>
      </c>
      <c r="E361" s="89">
        <v>10.3279</v>
      </c>
      <c r="F361" s="90">
        <v>45413</v>
      </c>
      <c r="G361" s="90">
        <v>51501</v>
      </c>
    </row>
    <row r="362" spans="1:7" x14ac:dyDescent="0.3">
      <c r="A362" t="s">
        <v>1218</v>
      </c>
      <c r="B362" t="s">
        <v>1219</v>
      </c>
      <c r="C362" t="s">
        <v>887</v>
      </c>
      <c r="D362" t="s">
        <v>888</v>
      </c>
      <c r="E362" s="89">
        <v>11.2052</v>
      </c>
      <c r="F362" s="90">
        <v>45413</v>
      </c>
      <c r="G362" s="90">
        <v>51501</v>
      </c>
    </row>
    <row r="363" spans="1:7" x14ac:dyDescent="0.3">
      <c r="A363" t="s">
        <v>1220</v>
      </c>
      <c r="B363" t="s">
        <v>1219</v>
      </c>
      <c r="C363" t="s">
        <v>887</v>
      </c>
      <c r="D363" t="s">
        <v>888</v>
      </c>
      <c r="E363" s="89">
        <v>16.57</v>
      </c>
      <c r="F363" s="90">
        <v>45413</v>
      </c>
      <c r="G363" s="90">
        <v>51501</v>
      </c>
    </row>
    <row r="364" spans="1:7" x14ac:dyDescent="0.3">
      <c r="A364" t="s">
        <v>1218</v>
      </c>
      <c r="B364" t="s">
        <v>1219</v>
      </c>
      <c r="C364" t="s">
        <v>1065</v>
      </c>
      <c r="D364" t="s">
        <v>888</v>
      </c>
      <c r="E364" s="89">
        <v>11.2052</v>
      </c>
      <c r="F364" s="90">
        <v>45413</v>
      </c>
      <c r="G364" s="90">
        <v>51501</v>
      </c>
    </row>
    <row r="365" spans="1:7" x14ac:dyDescent="0.3">
      <c r="A365" t="s">
        <v>1220</v>
      </c>
      <c r="B365" t="s">
        <v>1219</v>
      </c>
      <c r="C365" t="s">
        <v>1065</v>
      </c>
      <c r="D365" t="s">
        <v>888</v>
      </c>
      <c r="E365" s="89">
        <v>11.2052</v>
      </c>
      <c r="F365" s="90">
        <v>45413</v>
      </c>
      <c r="G365" s="90">
        <v>51501</v>
      </c>
    </row>
    <row r="366" spans="1:7" x14ac:dyDescent="0.3">
      <c r="A366" t="s">
        <v>1218</v>
      </c>
      <c r="B366" t="s">
        <v>1219</v>
      </c>
      <c r="C366" t="s">
        <v>1066</v>
      </c>
      <c r="D366" t="s">
        <v>1067</v>
      </c>
      <c r="E366" s="89">
        <v>3.8923000000000001</v>
      </c>
      <c r="F366" s="90">
        <v>45413</v>
      </c>
      <c r="G366" s="90">
        <v>51501</v>
      </c>
    </row>
    <row r="367" spans="1:7" x14ac:dyDescent="0.3">
      <c r="A367" t="s">
        <v>1220</v>
      </c>
      <c r="B367" t="s">
        <v>1219</v>
      </c>
      <c r="C367" t="s">
        <v>1066</v>
      </c>
      <c r="D367" t="s">
        <v>1067</v>
      </c>
      <c r="E367" s="89">
        <v>5.7630999999999997</v>
      </c>
      <c r="F367" s="90">
        <v>45413</v>
      </c>
      <c r="G367" s="90">
        <v>51501</v>
      </c>
    </row>
    <row r="368" spans="1:7" x14ac:dyDescent="0.3">
      <c r="A368" t="s">
        <v>1218</v>
      </c>
      <c r="B368" t="s">
        <v>1219</v>
      </c>
      <c r="C368" t="s">
        <v>1068</v>
      </c>
      <c r="D368" t="s">
        <v>1067</v>
      </c>
      <c r="E368" s="89">
        <v>3.8923000000000001</v>
      </c>
      <c r="F368" s="90">
        <v>45413</v>
      </c>
      <c r="G368" s="90">
        <v>51501</v>
      </c>
    </row>
    <row r="369" spans="1:7" x14ac:dyDescent="0.3">
      <c r="A369" t="s">
        <v>1220</v>
      </c>
      <c r="B369" t="s">
        <v>1219</v>
      </c>
      <c r="C369" t="s">
        <v>1068</v>
      </c>
      <c r="D369" t="s">
        <v>1067</v>
      </c>
      <c r="E369" s="89">
        <v>3.8923000000000001</v>
      </c>
      <c r="F369" s="90">
        <v>45413</v>
      </c>
      <c r="G369" s="90">
        <v>51501</v>
      </c>
    </row>
    <row r="370" spans="1:7" x14ac:dyDescent="0.3">
      <c r="A370" t="s">
        <v>1218</v>
      </c>
      <c r="B370" t="s">
        <v>1219</v>
      </c>
      <c r="C370" t="s">
        <v>1069</v>
      </c>
      <c r="D370" t="s">
        <v>1070</v>
      </c>
      <c r="E370" s="89">
        <v>14.156000000000001</v>
      </c>
      <c r="F370" s="90">
        <v>45413</v>
      </c>
      <c r="G370" s="90">
        <v>51501</v>
      </c>
    </row>
    <row r="371" spans="1:7" x14ac:dyDescent="0.3">
      <c r="A371" t="s">
        <v>1220</v>
      </c>
      <c r="B371" t="s">
        <v>1219</v>
      </c>
      <c r="C371" t="s">
        <v>1069</v>
      </c>
      <c r="D371" t="s">
        <v>1070</v>
      </c>
      <c r="E371" s="89">
        <v>20.933599999999998</v>
      </c>
      <c r="F371" s="90">
        <v>45413</v>
      </c>
      <c r="G371" s="90">
        <v>51501</v>
      </c>
    </row>
    <row r="372" spans="1:7" x14ac:dyDescent="0.3">
      <c r="A372" t="s">
        <v>1218</v>
      </c>
      <c r="B372" t="s">
        <v>1219</v>
      </c>
      <c r="C372" t="s">
        <v>1071</v>
      </c>
      <c r="D372" t="s">
        <v>1070</v>
      </c>
      <c r="E372" s="89">
        <v>14.156000000000001</v>
      </c>
      <c r="F372" s="90">
        <v>45413</v>
      </c>
      <c r="G372" s="90">
        <v>51501</v>
      </c>
    </row>
    <row r="373" spans="1:7" x14ac:dyDescent="0.3">
      <c r="A373" t="s">
        <v>1220</v>
      </c>
      <c r="B373" t="s">
        <v>1219</v>
      </c>
      <c r="C373" t="s">
        <v>1071</v>
      </c>
      <c r="D373" t="s">
        <v>1070</v>
      </c>
      <c r="E373" s="89">
        <v>14.156000000000001</v>
      </c>
      <c r="F373" s="90">
        <v>45413</v>
      </c>
      <c r="G373" s="90">
        <v>51501</v>
      </c>
    </row>
    <row r="374" spans="1:7" x14ac:dyDescent="0.3">
      <c r="A374" t="s">
        <v>1218</v>
      </c>
      <c r="B374" t="s">
        <v>1219</v>
      </c>
      <c r="C374" t="s">
        <v>401</v>
      </c>
      <c r="D374" t="s">
        <v>402</v>
      </c>
      <c r="E374" s="89">
        <v>1.5228999999999999</v>
      </c>
      <c r="F374" s="90">
        <v>45413</v>
      </c>
      <c r="G374" s="90">
        <v>51501</v>
      </c>
    </row>
    <row r="375" spans="1:7" x14ac:dyDescent="0.3">
      <c r="A375" t="s">
        <v>1220</v>
      </c>
      <c r="B375" t="s">
        <v>1219</v>
      </c>
      <c r="C375" t="s">
        <v>401</v>
      </c>
      <c r="D375" t="s">
        <v>402</v>
      </c>
      <c r="E375" s="89">
        <v>2.2663000000000002</v>
      </c>
      <c r="F375" s="90">
        <v>45413</v>
      </c>
      <c r="G375" s="90">
        <v>51501</v>
      </c>
    </row>
    <row r="376" spans="1:7" x14ac:dyDescent="0.3">
      <c r="A376" t="s">
        <v>1218</v>
      </c>
      <c r="B376" t="s">
        <v>1219</v>
      </c>
      <c r="C376" t="s">
        <v>1072</v>
      </c>
      <c r="D376" t="s">
        <v>402</v>
      </c>
      <c r="E376" s="89">
        <v>1.5228999999999999</v>
      </c>
      <c r="F376" s="90">
        <v>45413</v>
      </c>
      <c r="G376" s="90">
        <v>51501</v>
      </c>
    </row>
    <row r="377" spans="1:7" x14ac:dyDescent="0.3">
      <c r="A377" t="s">
        <v>1220</v>
      </c>
      <c r="B377" t="s">
        <v>1219</v>
      </c>
      <c r="C377" t="s">
        <v>1072</v>
      </c>
      <c r="D377" t="s">
        <v>402</v>
      </c>
      <c r="E377" s="89">
        <v>1.5228999999999999</v>
      </c>
      <c r="F377" s="90">
        <v>45413</v>
      </c>
      <c r="G377" s="90">
        <v>51501</v>
      </c>
    </row>
    <row r="378" spans="1:7" x14ac:dyDescent="0.3">
      <c r="A378" t="s">
        <v>1218</v>
      </c>
      <c r="B378" t="s">
        <v>1219</v>
      </c>
      <c r="C378" t="s">
        <v>414</v>
      </c>
      <c r="D378" t="s">
        <v>415</v>
      </c>
      <c r="E378" s="89">
        <v>13.292</v>
      </c>
      <c r="F378" s="90">
        <v>45413</v>
      </c>
      <c r="G378" s="90">
        <v>51501</v>
      </c>
    </row>
    <row r="379" spans="1:7" x14ac:dyDescent="0.3">
      <c r="A379" t="s">
        <v>1220</v>
      </c>
      <c r="B379" t="s">
        <v>1219</v>
      </c>
      <c r="C379" t="s">
        <v>414</v>
      </c>
      <c r="D379" t="s">
        <v>415</v>
      </c>
      <c r="E379" s="89">
        <v>19.655999999999999</v>
      </c>
      <c r="F379" s="90">
        <v>45413</v>
      </c>
      <c r="G379" s="90">
        <v>51501</v>
      </c>
    </row>
    <row r="380" spans="1:7" x14ac:dyDescent="0.3">
      <c r="A380" t="s">
        <v>1218</v>
      </c>
      <c r="B380" t="s">
        <v>1219</v>
      </c>
      <c r="C380" t="s">
        <v>1073</v>
      </c>
      <c r="D380" t="s">
        <v>415</v>
      </c>
      <c r="E380" s="89">
        <v>13.292</v>
      </c>
      <c r="F380" s="90">
        <v>45413</v>
      </c>
      <c r="G380" s="90">
        <v>51501</v>
      </c>
    </row>
    <row r="381" spans="1:7" x14ac:dyDescent="0.3">
      <c r="A381" t="s">
        <v>1220</v>
      </c>
      <c r="B381" t="s">
        <v>1219</v>
      </c>
      <c r="C381" t="s">
        <v>1073</v>
      </c>
      <c r="D381" t="s">
        <v>415</v>
      </c>
      <c r="E381" s="89">
        <v>13.292</v>
      </c>
      <c r="F381" s="90">
        <v>45413</v>
      </c>
      <c r="G381" s="90">
        <v>51501</v>
      </c>
    </row>
    <row r="382" spans="1:7" x14ac:dyDescent="0.3">
      <c r="A382" t="s">
        <v>1218</v>
      </c>
      <c r="B382" t="s">
        <v>1219</v>
      </c>
      <c r="C382" t="s">
        <v>529</v>
      </c>
      <c r="D382" t="s">
        <v>530</v>
      </c>
      <c r="E382" s="89">
        <v>4.3864000000000001</v>
      </c>
      <c r="F382" s="90">
        <v>45413</v>
      </c>
      <c r="G382" s="90">
        <v>51501</v>
      </c>
    </row>
    <row r="383" spans="1:7" x14ac:dyDescent="0.3">
      <c r="A383" t="s">
        <v>1220</v>
      </c>
      <c r="B383" t="s">
        <v>1219</v>
      </c>
      <c r="C383" t="s">
        <v>529</v>
      </c>
      <c r="D383" t="s">
        <v>530</v>
      </c>
      <c r="E383" s="89">
        <v>6.4865000000000004</v>
      </c>
      <c r="F383" s="90">
        <v>45413</v>
      </c>
      <c r="G383" s="90">
        <v>51501</v>
      </c>
    </row>
    <row r="384" spans="1:7" x14ac:dyDescent="0.3">
      <c r="A384" t="s">
        <v>1218</v>
      </c>
      <c r="B384" t="s">
        <v>1219</v>
      </c>
      <c r="C384" t="s">
        <v>1074</v>
      </c>
      <c r="D384" t="s">
        <v>530</v>
      </c>
      <c r="E384" s="89">
        <v>4.3864000000000001</v>
      </c>
      <c r="F384" s="90">
        <v>45413</v>
      </c>
      <c r="G384" s="90">
        <v>51501</v>
      </c>
    </row>
    <row r="385" spans="1:7" x14ac:dyDescent="0.3">
      <c r="A385" t="s">
        <v>1220</v>
      </c>
      <c r="B385" t="s">
        <v>1219</v>
      </c>
      <c r="C385" t="s">
        <v>1074</v>
      </c>
      <c r="D385" t="s">
        <v>530</v>
      </c>
      <c r="E385" s="89">
        <v>4.3864000000000001</v>
      </c>
      <c r="F385" s="90">
        <v>45413</v>
      </c>
      <c r="G385" s="90">
        <v>51501</v>
      </c>
    </row>
    <row r="386" spans="1:7" x14ac:dyDescent="0.3">
      <c r="A386" t="s">
        <v>1218</v>
      </c>
      <c r="B386" t="s">
        <v>1219</v>
      </c>
      <c r="C386" t="s">
        <v>910</v>
      </c>
      <c r="D386" t="s">
        <v>1075</v>
      </c>
      <c r="E386" s="89">
        <v>6.2870999999999997</v>
      </c>
      <c r="F386" s="90">
        <v>45413</v>
      </c>
      <c r="G386" s="90">
        <v>51501</v>
      </c>
    </row>
    <row r="387" spans="1:7" x14ac:dyDescent="0.3">
      <c r="A387" t="s">
        <v>1220</v>
      </c>
      <c r="B387" t="s">
        <v>1219</v>
      </c>
      <c r="C387" t="s">
        <v>910</v>
      </c>
      <c r="D387" t="s">
        <v>1075</v>
      </c>
      <c r="E387" s="89">
        <v>9.2972999999999999</v>
      </c>
      <c r="F387" s="90">
        <v>45413</v>
      </c>
      <c r="G387" s="90">
        <v>51501</v>
      </c>
    </row>
    <row r="388" spans="1:7" x14ac:dyDescent="0.3">
      <c r="A388" t="s">
        <v>1218</v>
      </c>
      <c r="B388" t="s">
        <v>1219</v>
      </c>
      <c r="C388" t="s">
        <v>1076</v>
      </c>
      <c r="D388" t="s">
        <v>1075</v>
      </c>
      <c r="E388" s="89">
        <v>6.2870999999999997</v>
      </c>
      <c r="F388" s="90">
        <v>45413</v>
      </c>
      <c r="G388" s="90">
        <v>51501</v>
      </c>
    </row>
    <row r="389" spans="1:7" x14ac:dyDescent="0.3">
      <c r="A389" t="s">
        <v>1220</v>
      </c>
      <c r="B389" t="s">
        <v>1219</v>
      </c>
      <c r="C389" t="s">
        <v>1076</v>
      </c>
      <c r="D389" t="s">
        <v>1075</v>
      </c>
      <c r="E389" s="89">
        <v>6.2870999999999997</v>
      </c>
      <c r="F389" s="90">
        <v>45413</v>
      </c>
      <c r="G389" s="90">
        <v>51501</v>
      </c>
    </row>
    <row r="390" spans="1:7" x14ac:dyDescent="0.3">
      <c r="A390" t="s">
        <v>1218</v>
      </c>
      <c r="B390" t="s">
        <v>1219</v>
      </c>
      <c r="C390" t="s">
        <v>553</v>
      </c>
      <c r="D390" t="s">
        <v>554</v>
      </c>
      <c r="E390" s="89">
        <v>5.2636000000000003</v>
      </c>
      <c r="F390" s="90">
        <v>45413</v>
      </c>
      <c r="G390" s="90">
        <v>51501</v>
      </c>
    </row>
    <row r="391" spans="1:7" x14ac:dyDescent="0.3">
      <c r="A391" t="s">
        <v>1220</v>
      </c>
      <c r="B391" t="s">
        <v>1219</v>
      </c>
      <c r="C391" t="s">
        <v>553</v>
      </c>
      <c r="D391" t="s">
        <v>554</v>
      </c>
      <c r="E391" s="89">
        <v>7.7838000000000003</v>
      </c>
      <c r="F391" s="90">
        <v>45413</v>
      </c>
      <c r="G391" s="90">
        <v>51501</v>
      </c>
    </row>
    <row r="392" spans="1:7" x14ac:dyDescent="0.3">
      <c r="A392" t="s">
        <v>1218</v>
      </c>
      <c r="B392" t="s">
        <v>1219</v>
      </c>
      <c r="C392" t="s">
        <v>1077</v>
      </c>
      <c r="D392" t="s">
        <v>554</v>
      </c>
      <c r="E392" s="89">
        <v>5.2636000000000003</v>
      </c>
      <c r="F392" s="90">
        <v>45413</v>
      </c>
      <c r="G392" s="90">
        <v>51501</v>
      </c>
    </row>
    <row r="393" spans="1:7" x14ac:dyDescent="0.3">
      <c r="A393" t="s">
        <v>1220</v>
      </c>
      <c r="B393" t="s">
        <v>1219</v>
      </c>
      <c r="C393" t="s">
        <v>1077</v>
      </c>
      <c r="D393" t="s">
        <v>554</v>
      </c>
      <c r="E393" s="89">
        <v>5.2636000000000003</v>
      </c>
      <c r="F393" s="90">
        <v>45413</v>
      </c>
      <c r="G393" s="90">
        <v>51501</v>
      </c>
    </row>
    <row r="394" spans="1:7" x14ac:dyDescent="0.3">
      <c r="A394" t="s">
        <v>1218</v>
      </c>
      <c r="B394" t="s">
        <v>1219</v>
      </c>
      <c r="C394" t="s">
        <v>577</v>
      </c>
      <c r="D394" t="s">
        <v>578</v>
      </c>
      <c r="E394" s="89">
        <v>5.4230999999999998</v>
      </c>
      <c r="F394" s="90">
        <v>45413</v>
      </c>
      <c r="G394" s="90">
        <v>51501</v>
      </c>
    </row>
    <row r="395" spans="1:7" x14ac:dyDescent="0.3">
      <c r="A395" t="s">
        <v>1220</v>
      </c>
      <c r="B395" t="s">
        <v>1219</v>
      </c>
      <c r="C395" t="s">
        <v>577</v>
      </c>
      <c r="D395" t="s">
        <v>578</v>
      </c>
      <c r="E395" s="89">
        <v>8.0196000000000005</v>
      </c>
      <c r="F395" s="90">
        <v>45413</v>
      </c>
      <c r="G395" s="90">
        <v>51501</v>
      </c>
    </row>
    <row r="396" spans="1:7" x14ac:dyDescent="0.3">
      <c r="A396" t="s">
        <v>1218</v>
      </c>
      <c r="B396" t="s">
        <v>1219</v>
      </c>
      <c r="C396" t="s">
        <v>1078</v>
      </c>
      <c r="D396" t="s">
        <v>578</v>
      </c>
      <c r="E396" s="89">
        <v>5.4230999999999998</v>
      </c>
      <c r="F396" s="90">
        <v>45413</v>
      </c>
      <c r="G396" s="90">
        <v>51501</v>
      </c>
    </row>
    <row r="397" spans="1:7" x14ac:dyDescent="0.3">
      <c r="A397" t="s">
        <v>1220</v>
      </c>
      <c r="B397" t="s">
        <v>1219</v>
      </c>
      <c r="C397" t="s">
        <v>1078</v>
      </c>
      <c r="D397" t="s">
        <v>578</v>
      </c>
      <c r="E397" s="89">
        <v>5.4230999999999998</v>
      </c>
      <c r="F397" s="90">
        <v>45413</v>
      </c>
      <c r="G397" s="90">
        <v>51501</v>
      </c>
    </row>
    <row r="398" spans="1:7" x14ac:dyDescent="0.3">
      <c r="A398" t="s">
        <v>1218</v>
      </c>
      <c r="B398" t="s">
        <v>1219</v>
      </c>
      <c r="C398" t="s">
        <v>583</v>
      </c>
      <c r="D398" t="s">
        <v>584</v>
      </c>
      <c r="E398" s="89">
        <v>5.4390999999999998</v>
      </c>
      <c r="F398" s="90">
        <v>45413</v>
      </c>
      <c r="G398" s="90">
        <v>51501</v>
      </c>
    </row>
    <row r="399" spans="1:7" x14ac:dyDescent="0.3">
      <c r="A399" t="s">
        <v>1220</v>
      </c>
      <c r="B399" t="s">
        <v>1219</v>
      </c>
      <c r="C399" t="s">
        <v>583</v>
      </c>
      <c r="D399" t="s">
        <v>584</v>
      </c>
      <c r="E399" s="89">
        <v>8.0432000000000006</v>
      </c>
      <c r="F399" s="90">
        <v>45413</v>
      </c>
      <c r="G399" s="90">
        <v>51501</v>
      </c>
    </row>
    <row r="400" spans="1:7" x14ac:dyDescent="0.3">
      <c r="A400" t="s">
        <v>1218</v>
      </c>
      <c r="B400" t="s">
        <v>1219</v>
      </c>
      <c r="C400" t="s">
        <v>1079</v>
      </c>
      <c r="D400" t="s">
        <v>584</v>
      </c>
      <c r="E400" s="89">
        <v>5.4390999999999998</v>
      </c>
      <c r="F400" s="90">
        <v>45413</v>
      </c>
      <c r="G400" s="90">
        <v>51501</v>
      </c>
    </row>
    <row r="401" spans="1:7" x14ac:dyDescent="0.3">
      <c r="A401" t="s">
        <v>1220</v>
      </c>
      <c r="B401" t="s">
        <v>1219</v>
      </c>
      <c r="C401" t="s">
        <v>1079</v>
      </c>
      <c r="D401" t="s">
        <v>584</v>
      </c>
      <c r="E401" s="89">
        <v>5.4390999999999998</v>
      </c>
      <c r="F401" s="90">
        <v>45413</v>
      </c>
      <c r="G401" s="90">
        <v>51501</v>
      </c>
    </row>
    <row r="402" spans="1:7" x14ac:dyDescent="0.3">
      <c r="A402" t="s">
        <v>1218</v>
      </c>
      <c r="B402" t="s">
        <v>1219</v>
      </c>
      <c r="C402" t="s">
        <v>595</v>
      </c>
      <c r="D402" t="s">
        <v>596</v>
      </c>
      <c r="E402" s="89">
        <v>5.6623999999999999</v>
      </c>
      <c r="F402" s="90">
        <v>45413</v>
      </c>
      <c r="G402" s="90">
        <v>51501</v>
      </c>
    </row>
    <row r="403" spans="1:7" x14ac:dyDescent="0.3">
      <c r="A403" t="s">
        <v>1220</v>
      </c>
      <c r="B403" t="s">
        <v>1219</v>
      </c>
      <c r="C403" t="s">
        <v>595</v>
      </c>
      <c r="D403" t="s">
        <v>596</v>
      </c>
      <c r="E403" s="89">
        <v>8.3734999999999999</v>
      </c>
      <c r="F403" s="90">
        <v>45413</v>
      </c>
      <c r="G403" s="90">
        <v>51501</v>
      </c>
    </row>
    <row r="404" spans="1:7" x14ac:dyDescent="0.3">
      <c r="A404" t="s">
        <v>1218</v>
      </c>
      <c r="B404" t="s">
        <v>1219</v>
      </c>
      <c r="C404" t="s">
        <v>1080</v>
      </c>
      <c r="D404" t="s">
        <v>596</v>
      </c>
      <c r="E404" s="89">
        <v>5.6623999999999999</v>
      </c>
      <c r="F404" s="90">
        <v>45413</v>
      </c>
      <c r="G404" s="90">
        <v>51501</v>
      </c>
    </row>
    <row r="405" spans="1:7" x14ac:dyDescent="0.3">
      <c r="A405" t="s">
        <v>1220</v>
      </c>
      <c r="B405" t="s">
        <v>1219</v>
      </c>
      <c r="C405" t="s">
        <v>1080</v>
      </c>
      <c r="D405" t="s">
        <v>596</v>
      </c>
      <c r="E405" s="89">
        <v>5.6623999999999999</v>
      </c>
      <c r="F405" s="90">
        <v>45413</v>
      </c>
      <c r="G405" s="90">
        <v>51501</v>
      </c>
    </row>
    <row r="406" spans="1:7" x14ac:dyDescent="0.3">
      <c r="A406" t="s">
        <v>1218</v>
      </c>
      <c r="B406" t="s">
        <v>1219</v>
      </c>
      <c r="C406" t="s">
        <v>1081</v>
      </c>
      <c r="D406" t="s">
        <v>1082</v>
      </c>
      <c r="E406" s="89">
        <v>11.1015</v>
      </c>
      <c r="F406" s="90">
        <v>45413</v>
      </c>
      <c r="G406" s="90">
        <v>51501</v>
      </c>
    </row>
    <row r="407" spans="1:7" x14ac:dyDescent="0.3">
      <c r="A407" t="s">
        <v>1220</v>
      </c>
      <c r="B407" t="s">
        <v>1219</v>
      </c>
      <c r="C407" t="s">
        <v>1081</v>
      </c>
      <c r="D407" t="s">
        <v>1082</v>
      </c>
      <c r="E407" s="89">
        <v>16.416699999999999</v>
      </c>
      <c r="F407" s="90">
        <v>45413</v>
      </c>
      <c r="G407" s="90">
        <v>51501</v>
      </c>
    </row>
    <row r="408" spans="1:7" x14ac:dyDescent="0.3">
      <c r="A408" t="s">
        <v>1218</v>
      </c>
      <c r="B408" t="s">
        <v>1219</v>
      </c>
      <c r="C408" t="s">
        <v>1083</v>
      </c>
      <c r="D408" t="s">
        <v>1082</v>
      </c>
      <c r="E408" s="89">
        <v>11.1015</v>
      </c>
      <c r="F408" s="90">
        <v>45413</v>
      </c>
      <c r="G408" s="90">
        <v>51501</v>
      </c>
    </row>
    <row r="409" spans="1:7" x14ac:dyDescent="0.3">
      <c r="A409" t="s">
        <v>1220</v>
      </c>
      <c r="B409" t="s">
        <v>1219</v>
      </c>
      <c r="C409" t="s">
        <v>1083</v>
      </c>
      <c r="D409" t="s">
        <v>1082</v>
      </c>
      <c r="E409" s="89">
        <v>11.1015</v>
      </c>
      <c r="F409" s="90">
        <v>45413</v>
      </c>
      <c r="G409" s="90">
        <v>51501</v>
      </c>
    </row>
    <row r="410" spans="1:7" x14ac:dyDescent="0.3">
      <c r="A410" t="s">
        <v>1218</v>
      </c>
      <c r="B410" t="s">
        <v>1219</v>
      </c>
      <c r="C410" t="s">
        <v>926</v>
      </c>
      <c r="D410" t="s">
        <v>927</v>
      </c>
      <c r="E410" s="89">
        <v>7.5445000000000002</v>
      </c>
      <c r="F410" s="90">
        <v>45413</v>
      </c>
      <c r="G410" s="90">
        <v>51501</v>
      </c>
    </row>
    <row r="411" spans="1:7" x14ac:dyDescent="0.3">
      <c r="A411" t="s">
        <v>1220</v>
      </c>
      <c r="B411" t="s">
        <v>1219</v>
      </c>
      <c r="C411" t="s">
        <v>926</v>
      </c>
      <c r="D411" t="s">
        <v>927</v>
      </c>
      <c r="E411" s="89">
        <v>11.156700000000001</v>
      </c>
      <c r="F411" s="90">
        <v>45413</v>
      </c>
      <c r="G411" s="90">
        <v>51501</v>
      </c>
    </row>
    <row r="412" spans="1:7" x14ac:dyDescent="0.3">
      <c r="A412" t="s">
        <v>1218</v>
      </c>
      <c r="B412" t="s">
        <v>1219</v>
      </c>
      <c r="C412" t="s">
        <v>1084</v>
      </c>
      <c r="D412" t="s">
        <v>927</v>
      </c>
      <c r="E412" s="89">
        <v>7.5445000000000002</v>
      </c>
      <c r="F412" s="90">
        <v>45413</v>
      </c>
      <c r="G412" s="90">
        <v>51501</v>
      </c>
    </row>
    <row r="413" spans="1:7" x14ac:dyDescent="0.3">
      <c r="A413" t="s">
        <v>1220</v>
      </c>
      <c r="B413" t="s">
        <v>1219</v>
      </c>
      <c r="C413" t="s">
        <v>1084</v>
      </c>
      <c r="D413" t="s">
        <v>927</v>
      </c>
      <c r="E413" s="89">
        <v>7.5445000000000002</v>
      </c>
      <c r="F413" s="90">
        <v>45413</v>
      </c>
      <c r="G413" s="90">
        <v>51501</v>
      </c>
    </row>
    <row r="414" spans="1:7" x14ac:dyDescent="0.3">
      <c r="A414" t="s">
        <v>1218</v>
      </c>
      <c r="B414" t="s">
        <v>1219</v>
      </c>
      <c r="C414" t="s">
        <v>1085</v>
      </c>
      <c r="D414" t="s">
        <v>1086</v>
      </c>
      <c r="E414" s="89">
        <v>6.1342999999999996</v>
      </c>
      <c r="F414" s="90">
        <v>45413</v>
      </c>
      <c r="G414" s="90">
        <v>51501</v>
      </c>
    </row>
    <row r="415" spans="1:7" x14ac:dyDescent="0.3">
      <c r="A415" t="s">
        <v>1220</v>
      </c>
      <c r="B415" t="s">
        <v>1219</v>
      </c>
      <c r="C415" t="s">
        <v>1085</v>
      </c>
      <c r="D415" t="s">
        <v>1086</v>
      </c>
      <c r="E415" s="89">
        <v>9.0711999999999993</v>
      </c>
      <c r="F415" s="90">
        <v>45413</v>
      </c>
      <c r="G415" s="90">
        <v>51501</v>
      </c>
    </row>
    <row r="416" spans="1:7" x14ac:dyDescent="0.3">
      <c r="A416" t="s">
        <v>1218</v>
      </c>
      <c r="B416" t="s">
        <v>1219</v>
      </c>
      <c r="C416" t="s">
        <v>1087</v>
      </c>
      <c r="D416" t="s">
        <v>1086</v>
      </c>
      <c r="E416" s="89">
        <v>6.1342999999999996</v>
      </c>
      <c r="F416" s="90">
        <v>45413</v>
      </c>
      <c r="G416" s="90">
        <v>51501</v>
      </c>
    </row>
    <row r="417" spans="1:7" x14ac:dyDescent="0.3">
      <c r="A417" t="s">
        <v>1220</v>
      </c>
      <c r="B417" t="s">
        <v>1219</v>
      </c>
      <c r="C417" t="s">
        <v>1087</v>
      </c>
      <c r="D417" t="s">
        <v>1086</v>
      </c>
      <c r="E417" s="89">
        <v>6.1342999999999996</v>
      </c>
      <c r="F417" s="90">
        <v>45413</v>
      </c>
      <c r="G417" s="90">
        <v>51501</v>
      </c>
    </row>
    <row r="418" spans="1:7" x14ac:dyDescent="0.3">
      <c r="A418" t="s">
        <v>1218</v>
      </c>
      <c r="B418" t="s">
        <v>1219</v>
      </c>
      <c r="C418" t="s">
        <v>601</v>
      </c>
      <c r="D418" t="s">
        <v>602</v>
      </c>
      <c r="E418" s="89">
        <v>7.0780000000000003</v>
      </c>
      <c r="F418" s="90">
        <v>45413</v>
      </c>
      <c r="G418" s="90">
        <v>51501</v>
      </c>
    </row>
    <row r="419" spans="1:7" x14ac:dyDescent="0.3">
      <c r="A419" t="s">
        <v>1220</v>
      </c>
      <c r="B419" t="s">
        <v>1219</v>
      </c>
      <c r="C419" t="s">
        <v>601</v>
      </c>
      <c r="D419" t="s">
        <v>602</v>
      </c>
      <c r="E419" s="89">
        <v>10.466799999999999</v>
      </c>
      <c r="F419" s="90">
        <v>45413</v>
      </c>
      <c r="G419" s="90">
        <v>51501</v>
      </c>
    </row>
    <row r="420" spans="1:7" x14ac:dyDescent="0.3">
      <c r="A420" t="s">
        <v>1218</v>
      </c>
      <c r="B420" t="s">
        <v>1219</v>
      </c>
      <c r="C420" t="s">
        <v>1088</v>
      </c>
      <c r="D420" t="s">
        <v>602</v>
      </c>
      <c r="E420" s="89">
        <v>7.0780000000000003</v>
      </c>
      <c r="F420" s="90">
        <v>45413</v>
      </c>
      <c r="G420" s="90">
        <v>51501</v>
      </c>
    </row>
    <row r="421" spans="1:7" x14ac:dyDescent="0.3">
      <c r="A421" t="s">
        <v>1220</v>
      </c>
      <c r="B421" t="s">
        <v>1219</v>
      </c>
      <c r="C421" t="s">
        <v>1088</v>
      </c>
      <c r="D421" t="s">
        <v>602</v>
      </c>
      <c r="E421" s="89">
        <v>7.0780000000000003</v>
      </c>
      <c r="F421" s="90">
        <v>45413</v>
      </c>
      <c r="G421" s="90">
        <v>51501</v>
      </c>
    </row>
    <row r="422" spans="1:7" x14ac:dyDescent="0.3">
      <c r="A422" t="s">
        <v>1218</v>
      </c>
      <c r="B422" t="s">
        <v>1219</v>
      </c>
      <c r="C422" t="s">
        <v>924</v>
      </c>
      <c r="D422" t="s">
        <v>1089</v>
      </c>
      <c r="E422" s="89">
        <v>9.4306999999999999</v>
      </c>
      <c r="F422" s="90">
        <v>45413</v>
      </c>
      <c r="G422" s="90">
        <v>51501</v>
      </c>
    </row>
    <row r="423" spans="1:7" x14ac:dyDescent="0.3">
      <c r="A423" t="s">
        <v>1220</v>
      </c>
      <c r="B423" t="s">
        <v>1219</v>
      </c>
      <c r="C423" t="s">
        <v>924</v>
      </c>
      <c r="D423" t="s">
        <v>1089</v>
      </c>
      <c r="E423" s="89">
        <v>13.9459</v>
      </c>
      <c r="F423" s="90">
        <v>45413</v>
      </c>
      <c r="G423" s="90">
        <v>51501</v>
      </c>
    </row>
    <row r="424" spans="1:7" x14ac:dyDescent="0.3">
      <c r="A424" t="s">
        <v>1218</v>
      </c>
      <c r="B424" t="s">
        <v>1219</v>
      </c>
      <c r="C424" t="s">
        <v>1090</v>
      </c>
      <c r="D424" t="s">
        <v>1089</v>
      </c>
      <c r="E424" s="89">
        <v>9.4306999999999999</v>
      </c>
      <c r="F424" s="90">
        <v>45413</v>
      </c>
      <c r="G424" s="90">
        <v>51501</v>
      </c>
    </row>
    <row r="425" spans="1:7" x14ac:dyDescent="0.3">
      <c r="A425" t="s">
        <v>1220</v>
      </c>
      <c r="B425" t="s">
        <v>1219</v>
      </c>
      <c r="C425" t="s">
        <v>1090</v>
      </c>
      <c r="D425" t="s">
        <v>1089</v>
      </c>
      <c r="E425" s="89">
        <v>9.4306999999999999</v>
      </c>
      <c r="F425" s="90">
        <v>45413</v>
      </c>
      <c r="G425" s="90">
        <v>51501</v>
      </c>
    </row>
    <row r="426" spans="1:7" x14ac:dyDescent="0.3">
      <c r="A426" t="s">
        <v>1218</v>
      </c>
      <c r="B426" t="s">
        <v>1219</v>
      </c>
      <c r="C426" t="s">
        <v>932</v>
      </c>
      <c r="D426" t="s">
        <v>933</v>
      </c>
      <c r="E426" s="89">
        <v>11.151999999999999</v>
      </c>
      <c r="F426" s="90">
        <v>45413</v>
      </c>
      <c r="G426" s="90">
        <v>51501</v>
      </c>
    </row>
    <row r="427" spans="1:7" x14ac:dyDescent="0.3">
      <c r="A427" t="s">
        <v>1220</v>
      </c>
      <c r="B427" t="s">
        <v>1219</v>
      </c>
      <c r="C427" t="s">
        <v>932</v>
      </c>
      <c r="D427" t="s">
        <v>933</v>
      </c>
      <c r="E427" s="89">
        <v>16.491399999999999</v>
      </c>
      <c r="F427" s="90">
        <v>45413</v>
      </c>
      <c r="G427" s="90">
        <v>51501</v>
      </c>
    </row>
    <row r="428" spans="1:7" x14ac:dyDescent="0.3">
      <c r="A428" t="s">
        <v>1218</v>
      </c>
      <c r="B428" t="s">
        <v>1219</v>
      </c>
      <c r="C428" t="s">
        <v>1091</v>
      </c>
      <c r="D428" t="s">
        <v>933</v>
      </c>
      <c r="E428" s="89">
        <v>11.151999999999999</v>
      </c>
      <c r="F428" s="90">
        <v>45413</v>
      </c>
      <c r="G428" s="90">
        <v>51501</v>
      </c>
    </row>
    <row r="429" spans="1:7" x14ac:dyDescent="0.3">
      <c r="A429" t="s">
        <v>1220</v>
      </c>
      <c r="B429" t="s">
        <v>1219</v>
      </c>
      <c r="C429" t="s">
        <v>1091</v>
      </c>
      <c r="D429" t="s">
        <v>933</v>
      </c>
      <c r="E429" s="89">
        <v>11.151999999999999</v>
      </c>
      <c r="F429" s="90">
        <v>45413</v>
      </c>
      <c r="G429" s="90">
        <v>51501</v>
      </c>
    </row>
    <row r="430" spans="1:7" x14ac:dyDescent="0.3">
      <c r="A430" t="s">
        <v>1218</v>
      </c>
      <c r="B430" t="s">
        <v>1219</v>
      </c>
      <c r="C430" t="s">
        <v>1092</v>
      </c>
      <c r="D430" t="s">
        <v>1093</v>
      </c>
      <c r="E430" s="89">
        <v>8.4936000000000007</v>
      </c>
      <c r="F430" s="90">
        <v>45413</v>
      </c>
      <c r="G430" s="90">
        <v>51501</v>
      </c>
    </row>
    <row r="431" spans="1:7" x14ac:dyDescent="0.3">
      <c r="A431" t="s">
        <v>1220</v>
      </c>
      <c r="B431" t="s">
        <v>1219</v>
      </c>
      <c r="C431" t="s">
        <v>1092</v>
      </c>
      <c r="D431" t="s">
        <v>1093</v>
      </c>
      <c r="E431" s="89">
        <v>12.5602</v>
      </c>
      <c r="F431" s="90">
        <v>45413</v>
      </c>
      <c r="G431" s="90">
        <v>51501</v>
      </c>
    </row>
    <row r="432" spans="1:7" x14ac:dyDescent="0.3">
      <c r="A432" t="s">
        <v>1218</v>
      </c>
      <c r="B432" t="s">
        <v>1219</v>
      </c>
      <c r="C432" t="s">
        <v>1094</v>
      </c>
      <c r="D432" t="s">
        <v>1093</v>
      </c>
      <c r="E432" s="89">
        <v>8.4936000000000007</v>
      </c>
      <c r="F432" s="90">
        <v>45413</v>
      </c>
      <c r="G432" s="90">
        <v>51501</v>
      </c>
    </row>
    <row r="433" spans="1:7" x14ac:dyDescent="0.3">
      <c r="A433" t="s">
        <v>1220</v>
      </c>
      <c r="B433" t="s">
        <v>1219</v>
      </c>
      <c r="C433" t="s">
        <v>1094</v>
      </c>
      <c r="D433" t="s">
        <v>1093</v>
      </c>
      <c r="E433" s="89">
        <v>8.4936000000000007</v>
      </c>
      <c r="F433" s="90">
        <v>45413</v>
      </c>
      <c r="G433" s="90">
        <v>51501</v>
      </c>
    </row>
    <row r="434" spans="1:7" x14ac:dyDescent="0.3">
      <c r="A434" t="s">
        <v>1218</v>
      </c>
      <c r="B434" t="s">
        <v>1219</v>
      </c>
      <c r="C434" t="s">
        <v>561</v>
      </c>
      <c r="D434" t="s">
        <v>562</v>
      </c>
      <c r="E434" s="89">
        <v>2.7488000000000001</v>
      </c>
      <c r="F434" s="90">
        <v>45413</v>
      </c>
      <c r="G434" s="90">
        <v>51501</v>
      </c>
    </row>
    <row r="435" spans="1:7" x14ac:dyDescent="0.3">
      <c r="A435" t="s">
        <v>1220</v>
      </c>
      <c r="B435" t="s">
        <v>1219</v>
      </c>
      <c r="C435" t="s">
        <v>561</v>
      </c>
      <c r="D435" t="s">
        <v>562</v>
      </c>
      <c r="E435" s="89">
        <v>4.07</v>
      </c>
      <c r="F435" s="90">
        <v>45413</v>
      </c>
      <c r="G435" s="90">
        <v>51501</v>
      </c>
    </row>
    <row r="436" spans="1:7" x14ac:dyDescent="0.3">
      <c r="A436" t="s">
        <v>1218</v>
      </c>
      <c r="B436" t="s">
        <v>1219</v>
      </c>
      <c r="C436" t="s">
        <v>1095</v>
      </c>
      <c r="D436" t="s">
        <v>562</v>
      </c>
      <c r="E436" s="89">
        <v>2.7488000000000001</v>
      </c>
      <c r="F436" s="90">
        <v>45413</v>
      </c>
      <c r="G436" s="90">
        <v>51501</v>
      </c>
    </row>
    <row r="437" spans="1:7" x14ac:dyDescent="0.3">
      <c r="A437" t="s">
        <v>1220</v>
      </c>
      <c r="B437" t="s">
        <v>1219</v>
      </c>
      <c r="C437" t="s">
        <v>1095</v>
      </c>
      <c r="D437" t="s">
        <v>562</v>
      </c>
      <c r="E437" s="89">
        <v>2.7488000000000001</v>
      </c>
      <c r="F437" s="90">
        <v>45413</v>
      </c>
      <c r="G437" s="90">
        <v>51501</v>
      </c>
    </row>
    <row r="438" spans="1:7" x14ac:dyDescent="0.3">
      <c r="A438" t="s">
        <v>1218</v>
      </c>
      <c r="B438" t="s">
        <v>1219</v>
      </c>
      <c r="C438" t="s">
        <v>1096</v>
      </c>
      <c r="D438" t="s">
        <v>1097</v>
      </c>
      <c r="E438" s="89">
        <v>9.4373000000000005</v>
      </c>
      <c r="F438" s="90">
        <v>45413</v>
      </c>
      <c r="G438" s="90">
        <v>51501</v>
      </c>
    </row>
    <row r="439" spans="1:7" x14ac:dyDescent="0.3">
      <c r="A439" t="s">
        <v>1220</v>
      </c>
      <c r="B439" t="s">
        <v>1219</v>
      </c>
      <c r="C439" t="s">
        <v>1096</v>
      </c>
      <c r="D439" t="s">
        <v>1097</v>
      </c>
      <c r="E439" s="89">
        <v>13.9558</v>
      </c>
      <c r="F439" s="90">
        <v>45413</v>
      </c>
      <c r="G439" s="90">
        <v>51501</v>
      </c>
    </row>
    <row r="440" spans="1:7" x14ac:dyDescent="0.3">
      <c r="A440" t="s">
        <v>1218</v>
      </c>
      <c r="B440" t="s">
        <v>1219</v>
      </c>
      <c r="C440" t="s">
        <v>1098</v>
      </c>
      <c r="D440" t="s">
        <v>1097</v>
      </c>
      <c r="E440" s="89">
        <v>9.4373000000000005</v>
      </c>
      <c r="F440" s="90">
        <v>45413</v>
      </c>
      <c r="G440" s="90">
        <v>51501</v>
      </c>
    </row>
    <row r="441" spans="1:7" x14ac:dyDescent="0.3">
      <c r="A441" t="s">
        <v>1220</v>
      </c>
      <c r="B441" t="s">
        <v>1219</v>
      </c>
      <c r="C441" t="s">
        <v>1098</v>
      </c>
      <c r="D441" t="s">
        <v>1097</v>
      </c>
      <c r="E441" s="89">
        <v>9.4373000000000005</v>
      </c>
      <c r="F441" s="90">
        <v>45413</v>
      </c>
      <c r="G441" s="90">
        <v>51501</v>
      </c>
    </row>
    <row r="442" spans="1:7" x14ac:dyDescent="0.3">
      <c r="A442" t="s">
        <v>1218</v>
      </c>
      <c r="B442" t="s">
        <v>1219</v>
      </c>
      <c r="C442" t="s">
        <v>607</v>
      </c>
      <c r="D442" t="s">
        <v>608</v>
      </c>
      <c r="E442" s="89">
        <v>10.5273</v>
      </c>
      <c r="F442" s="90">
        <v>45413</v>
      </c>
      <c r="G442" s="90">
        <v>51501</v>
      </c>
    </row>
    <row r="443" spans="1:7" x14ac:dyDescent="0.3">
      <c r="A443" t="s">
        <v>1220</v>
      </c>
      <c r="B443" t="s">
        <v>1219</v>
      </c>
      <c r="C443" t="s">
        <v>607</v>
      </c>
      <c r="D443" t="s">
        <v>608</v>
      </c>
      <c r="E443" s="89">
        <v>15.567600000000001</v>
      </c>
      <c r="F443" s="90">
        <v>45413</v>
      </c>
      <c r="G443" s="90">
        <v>51501</v>
      </c>
    </row>
    <row r="444" spans="1:7" x14ac:dyDescent="0.3">
      <c r="A444" t="s">
        <v>1218</v>
      </c>
      <c r="B444" t="s">
        <v>1219</v>
      </c>
      <c r="C444" t="s">
        <v>1099</v>
      </c>
      <c r="D444" t="s">
        <v>608</v>
      </c>
      <c r="E444" s="89">
        <v>10.5273</v>
      </c>
      <c r="F444" s="90">
        <v>45413</v>
      </c>
      <c r="G444" s="90">
        <v>51501</v>
      </c>
    </row>
    <row r="445" spans="1:7" x14ac:dyDescent="0.3">
      <c r="A445" t="s">
        <v>1220</v>
      </c>
      <c r="B445" t="s">
        <v>1219</v>
      </c>
      <c r="C445" t="s">
        <v>1099</v>
      </c>
      <c r="D445" t="s">
        <v>608</v>
      </c>
      <c r="E445" s="89">
        <v>10.5273</v>
      </c>
      <c r="F445" s="90">
        <v>45413</v>
      </c>
      <c r="G445" s="90">
        <v>51501</v>
      </c>
    </row>
    <row r="446" spans="1:7" x14ac:dyDescent="0.3">
      <c r="A446" t="s">
        <v>1218</v>
      </c>
      <c r="B446" t="s">
        <v>1219</v>
      </c>
      <c r="C446" t="s">
        <v>613</v>
      </c>
      <c r="D446" t="s">
        <v>614</v>
      </c>
      <c r="E446" s="89">
        <v>11.3248</v>
      </c>
      <c r="F446" s="90">
        <v>45413</v>
      </c>
      <c r="G446" s="90">
        <v>51501</v>
      </c>
    </row>
    <row r="447" spans="1:7" x14ac:dyDescent="0.3">
      <c r="A447" t="s">
        <v>1220</v>
      </c>
      <c r="B447" t="s">
        <v>1219</v>
      </c>
      <c r="C447" t="s">
        <v>613</v>
      </c>
      <c r="D447" t="s">
        <v>614</v>
      </c>
      <c r="E447" s="89">
        <v>16.7469</v>
      </c>
      <c r="F447" s="90">
        <v>45413</v>
      </c>
      <c r="G447" s="90">
        <v>51501</v>
      </c>
    </row>
    <row r="448" spans="1:7" x14ac:dyDescent="0.3">
      <c r="A448" t="s">
        <v>1218</v>
      </c>
      <c r="B448" t="s">
        <v>1219</v>
      </c>
      <c r="C448" t="s">
        <v>1100</v>
      </c>
      <c r="D448" t="s">
        <v>614</v>
      </c>
      <c r="E448" s="89">
        <v>11.3248</v>
      </c>
      <c r="F448" s="90">
        <v>45413</v>
      </c>
      <c r="G448" s="90">
        <v>51501</v>
      </c>
    </row>
    <row r="449" spans="1:7" x14ac:dyDescent="0.3">
      <c r="A449" t="s">
        <v>1220</v>
      </c>
      <c r="B449" t="s">
        <v>1219</v>
      </c>
      <c r="C449" t="s">
        <v>1100</v>
      </c>
      <c r="D449" t="s">
        <v>614</v>
      </c>
      <c r="E449" s="89">
        <v>11.3248</v>
      </c>
      <c r="F449" s="90">
        <v>45413</v>
      </c>
      <c r="G449" s="90">
        <v>51501</v>
      </c>
    </row>
    <row r="450" spans="1:7" x14ac:dyDescent="0.3">
      <c r="A450" t="s">
        <v>1218</v>
      </c>
      <c r="B450" t="s">
        <v>1219</v>
      </c>
      <c r="C450" t="s">
        <v>918</v>
      </c>
      <c r="D450" t="s">
        <v>919</v>
      </c>
      <c r="E450" s="89">
        <v>12.654</v>
      </c>
      <c r="F450" s="90">
        <v>45413</v>
      </c>
      <c r="G450" s="90">
        <v>51501</v>
      </c>
    </row>
    <row r="451" spans="1:7" x14ac:dyDescent="0.3">
      <c r="A451" t="s">
        <v>1220</v>
      </c>
      <c r="B451" t="s">
        <v>1219</v>
      </c>
      <c r="C451" t="s">
        <v>918</v>
      </c>
      <c r="D451" t="s">
        <v>919</v>
      </c>
      <c r="E451" s="89">
        <v>18.712499999999999</v>
      </c>
      <c r="F451" s="90">
        <v>45413</v>
      </c>
      <c r="G451" s="90">
        <v>51501</v>
      </c>
    </row>
    <row r="452" spans="1:7" x14ac:dyDescent="0.3">
      <c r="A452" t="s">
        <v>1218</v>
      </c>
      <c r="B452" t="s">
        <v>1219</v>
      </c>
      <c r="C452" t="s">
        <v>1101</v>
      </c>
      <c r="D452" t="s">
        <v>919</v>
      </c>
      <c r="E452" s="89">
        <v>12.654</v>
      </c>
      <c r="F452" s="90">
        <v>45413</v>
      </c>
      <c r="G452" s="90">
        <v>51501</v>
      </c>
    </row>
    <row r="453" spans="1:7" x14ac:dyDescent="0.3">
      <c r="A453" t="s">
        <v>1220</v>
      </c>
      <c r="B453" t="s">
        <v>1219</v>
      </c>
      <c r="C453" t="s">
        <v>1101</v>
      </c>
      <c r="D453" t="s">
        <v>919</v>
      </c>
      <c r="E453" s="89">
        <v>12.654</v>
      </c>
      <c r="F453" s="90">
        <v>45413</v>
      </c>
      <c r="G453" s="90">
        <v>51501</v>
      </c>
    </row>
    <row r="454" spans="1:7" x14ac:dyDescent="0.3">
      <c r="A454" t="s">
        <v>1218</v>
      </c>
      <c r="B454" t="s">
        <v>1219</v>
      </c>
      <c r="C454" t="s">
        <v>625</v>
      </c>
      <c r="D454" t="s">
        <v>626</v>
      </c>
      <c r="E454" s="89">
        <v>15.0891</v>
      </c>
      <c r="F454" s="90">
        <v>45413</v>
      </c>
      <c r="G454" s="90">
        <v>51501</v>
      </c>
    </row>
    <row r="455" spans="1:7" x14ac:dyDescent="0.3">
      <c r="A455" t="s">
        <v>1220</v>
      </c>
      <c r="B455" t="s">
        <v>1219</v>
      </c>
      <c r="C455" t="s">
        <v>625</v>
      </c>
      <c r="D455" t="s">
        <v>626</v>
      </c>
      <c r="E455" s="89">
        <v>22.313500000000001</v>
      </c>
      <c r="F455" s="90">
        <v>45413</v>
      </c>
      <c r="G455" s="90">
        <v>51501</v>
      </c>
    </row>
    <row r="456" spans="1:7" x14ac:dyDescent="0.3">
      <c r="A456" t="s">
        <v>1218</v>
      </c>
      <c r="B456" t="s">
        <v>1219</v>
      </c>
      <c r="C456" t="s">
        <v>1102</v>
      </c>
      <c r="D456" t="s">
        <v>626</v>
      </c>
      <c r="E456" s="89">
        <v>15.0891</v>
      </c>
      <c r="F456" s="90">
        <v>45413</v>
      </c>
      <c r="G456" s="90">
        <v>51501</v>
      </c>
    </row>
    <row r="457" spans="1:7" x14ac:dyDescent="0.3">
      <c r="A457" t="s">
        <v>1220</v>
      </c>
      <c r="B457" t="s">
        <v>1219</v>
      </c>
      <c r="C457" t="s">
        <v>1102</v>
      </c>
      <c r="D457" t="s">
        <v>626</v>
      </c>
      <c r="E457" s="89">
        <v>15.0891</v>
      </c>
      <c r="F457" s="90">
        <v>45413</v>
      </c>
      <c r="G457" s="90">
        <v>51501</v>
      </c>
    </row>
    <row r="458" spans="1:7" x14ac:dyDescent="0.3">
      <c r="A458" t="s">
        <v>1218</v>
      </c>
      <c r="B458" t="s">
        <v>1219</v>
      </c>
      <c r="C458" t="s">
        <v>922</v>
      </c>
      <c r="D458" t="s">
        <v>923</v>
      </c>
      <c r="E458" s="89">
        <v>15.9504</v>
      </c>
      <c r="F458" s="90">
        <v>45413</v>
      </c>
      <c r="G458" s="90">
        <v>51501</v>
      </c>
    </row>
    <row r="459" spans="1:7" x14ac:dyDescent="0.3">
      <c r="A459" t="s">
        <v>1220</v>
      </c>
      <c r="B459" t="s">
        <v>1219</v>
      </c>
      <c r="C459" t="s">
        <v>922</v>
      </c>
      <c r="D459" t="s">
        <v>923</v>
      </c>
      <c r="E459" s="89">
        <v>23.587199999999999</v>
      </c>
      <c r="F459" s="90">
        <v>45413</v>
      </c>
      <c r="G459" s="90">
        <v>51501</v>
      </c>
    </row>
    <row r="460" spans="1:7" x14ac:dyDescent="0.3">
      <c r="A460" t="s">
        <v>1218</v>
      </c>
      <c r="B460" t="s">
        <v>1219</v>
      </c>
      <c r="C460" t="s">
        <v>1103</v>
      </c>
      <c r="D460" t="s">
        <v>923</v>
      </c>
      <c r="E460" s="89">
        <v>15.9504</v>
      </c>
      <c r="F460" s="90">
        <v>45413</v>
      </c>
      <c r="G460" s="90">
        <v>51501</v>
      </c>
    </row>
    <row r="461" spans="1:7" x14ac:dyDescent="0.3">
      <c r="A461" t="s">
        <v>1220</v>
      </c>
      <c r="B461" t="s">
        <v>1219</v>
      </c>
      <c r="C461" t="s">
        <v>1103</v>
      </c>
      <c r="D461" t="s">
        <v>923</v>
      </c>
      <c r="E461" s="89">
        <v>15.9504</v>
      </c>
      <c r="F461" s="90">
        <v>45413</v>
      </c>
      <c r="G461" s="90">
        <v>51501</v>
      </c>
    </row>
    <row r="462" spans="1:7" x14ac:dyDescent="0.3">
      <c r="A462" t="s">
        <v>1218</v>
      </c>
      <c r="B462" t="s">
        <v>1219</v>
      </c>
      <c r="C462" t="s">
        <v>424</v>
      </c>
      <c r="D462" t="s">
        <v>425</v>
      </c>
      <c r="E462" s="89">
        <v>0.38069999999999998</v>
      </c>
      <c r="F462" s="90">
        <v>45413</v>
      </c>
      <c r="G462" s="90">
        <v>51501</v>
      </c>
    </row>
    <row r="463" spans="1:7" x14ac:dyDescent="0.3">
      <c r="A463" t="s">
        <v>1220</v>
      </c>
      <c r="B463" t="s">
        <v>1219</v>
      </c>
      <c r="C463" t="s">
        <v>424</v>
      </c>
      <c r="D463" t="s">
        <v>425</v>
      </c>
      <c r="E463" s="89">
        <v>0.56659999999999999</v>
      </c>
      <c r="F463" s="90">
        <v>45413</v>
      </c>
      <c r="G463" s="90">
        <v>51501</v>
      </c>
    </row>
    <row r="464" spans="1:7" x14ac:dyDescent="0.3">
      <c r="A464" t="s">
        <v>1218</v>
      </c>
      <c r="B464" t="s">
        <v>1219</v>
      </c>
      <c r="C464" t="s">
        <v>1104</v>
      </c>
      <c r="D464" t="s">
        <v>425</v>
      </c>
      <c r="E464" s="89">
        <v>0.38069999999999998</v>
      </c>
      <c r="F464" s="90">
        <v>45413</v>
      </c>
      <c r="G464" s="90">
        <v>51501</v>
      </c>
    </row>
    <row r="465" spans="1:7" x14ac:dyDescent="0.3">
      <c r="A465" t="s">
        <v>1220</v>
      </c>
      <c r="B465" t="s">
        <v>1219</v>
      </c>
      <c r="C465" t="s">
        <v>1104</v>
      </c>
      <c r="D465" t="s">
        <v>425</v>
      </c>
      <c r="E465" s="89">
        <v>0.38069999999999998</v>
      </c>
      <c r="F465" s="90">
        <v>45413</v>
      </c>
      <c r="G465" s="90">
        <v>51501</v>
      </c>
    </row>
    <row r="466" spans="1:7" x14ac:dyDescent="0.3">
      <c r="A466" t="s">
        <v>1218</v>
      </c>
      <c r="B466" t="s">
        <v>1219</v>
      </c>
      <c r="C466" t="s">
        <v>422</v>
      </c>
      <c r="D466" t="s">
        <v>423</v>
      </c>
      <c r="E466" s="89">
        <v>1.5228999999999999</v>
      </c>
      <c r="F466" s="90">
        <v>45413</v>
      </c>
      <c r="G466" s="90">
        <v>51501</v>
      </c>
    </row>
    <row r="467" spans="1:7" x14ac:dyDescent="0.3">
      <c r="A467" t="s">
        <v>1220</v>
      </c>
      <c r="B467" t="s">
        <v>1219</v>
      </c>
      <c r="C467" t="s">
        <v>422</v>
      </c>
      <c r="D467" t="s">
        <v>423</v>
      </c>
      <c r="E467" s="89">
        <v>2.2663000000000002</v>
      </c>
      <c r="F467" s="90">
        <v>45413</v>
      </c>
      <c r="G467" s="90">
        <v>51501</v>
      </c>
    </row>
    <row r="468" spans="1:7" x14ac:dyDescent="0.3">
      <c r="A468" t="s">
        <v>1218</v>
      </c>
      <c r="B468" t="s">
        <v>1219</v>
      </c>
      <c r="C468" t="s">
        <v>1105</v>
      </c>
      <c r="D468" t="s">
        <v>423</v>
      </c>
      <c r="E468" s="89">
        <v>1.5228999999999999</v>
      </c>
      <c r="F468" s="90">
        <v>45413</v>
      </c>
      <c r="G468" s="90">
        <v>51501</v>
      </c>
    </row>
    <row r="469" spans="1:7" x14ac:dyDescent="0.3">
      <c r="A469" t="s">
        <v>1220</v>
      </c>
      <c r="B469" t="s">
        <v>1219</v>
      </c>
      <c r="C469" t="s">
        <v>1105</v>
      </c>
      <c r="D469" t="s">
        <v>423</v>
      </c>
      <c r="E469" s="89">
        <v>1.5228999999999999</v>
      </c>
      <c r="F469" s="90">
        <v>45413</v>
      </c>
      <c r="G469" s="90">
        <v>51501</v>
      </c>
    </row>
    <row r="470" spans="1:7" x14ac:dyDescent="0.3">
      <c r="A470" t="s">
        <v>1218</v>
      </c>
      <c r="B470" t="s">
        <v>1219</v>
      </c>
      <c r="C470" t="s">
        <v>432</v>
      </c>
      <c r="D470" t="s">
        <v>1106</v>
      </c>
      <c r="E470" s="89">
        <v>1.7867</v>
      </c>
      <c r="F470" s="90">
        <v>45413</v>
      </c>
      <c r="G470" s="90">
        <v>51501</v>
      </c>
    </row>
    <row r="471" spans="1:7" x14ac:dyDescent="0.3">
      <c r="A471" t="s">
        <v>1220</v>
      </c>
      <c r="B471" t="s">
        <v>1219</v>
      </c>
      <c r="C471" t="s">
        <v>432</v>
      </c>
      <c r="D471" t="s">
        <v>1106</v>
      </c>
      <c r="E471" s="89">
        <v>2.6455000000000002</v>
      </c>
      <c r="F471" s="90">
        <v>45413</v>
      </c>
      <c r="G471" s="90">
        <v>51501</v>
      </c>
    </row>
    <row r="472" spans="1:7" x14ac:dyDescent="0.3">
      <c r="A472" t="s">
        <v>1218</v>
      </c>
      <c r="B472" t="s">
        <v>1219</v>
      </c>
      <c r="C472" t="s">
        <v>1107</v>
      </c>
      <c r="D472" t="s">
        <v>1106</v>
      </c>
      <c r="E472" s="89">
        <v>1.7867</v>
      </c>
      <c r="F472" s="90">
        <v>45413</v>
      </c>
      <c r="G472" s="90">
        <v>51501</v>
      </c>
    </row>
    <row r="473" spans="1:7" x14ac:dyDescent="0.3">
      <c r="A473" t="s">
        <v>1220</v>
      </c>
      <c r="B473" t="s">
        <v>1219</v>
      </c>
      <c r="C473" t="s">
        <v>1107</v>
      </c>
      <c r="D473" t="s">
        <v>1106</v>
      </c>
      <c r="E473" s="89">
        <v>1.7867</v>
      </c>
      <c r="F473" s="90">
        <v>45413</v>
      </c>
      <c r="G473" s="90">
        <v>51501</v>
      </c>
    </row>
    <row r="474" spans="1:7" x14ac:dyDescent="0.3">
      <c r="A474" t="s">
        <v>1218</v>
      </c>
      <c r="B474" t="s">
        <v>1219</v>
      </c>
      <c r="C474" t="s">
        <v>619</v>
      </c>
      <c r="D474" t="s">
        <v>620</v>
      </c>
      <c r="E474" s="89">
        <v>11.8033</v>
      </c>
      <c r="F474" s="90">
        <v>45413</v>
      </c>
      <c r="G474" s="90">
        <v>51501</v>
      </c>
    </row>
    <row r="475" spans="1:7" x14ac:dyDescent="0.3">
      <c r="A475" t="s">
        <v>1220</v>
      </c>
      <c r="B475" t="s">
        <v>1219</v>
      </c>
      <c r="C475" t="s">
        <v>619</v>
      </c>
      <c r="D475" t="s">
        <v>620</v>
      </c>
      <c r="E475" s="89">
        <v>17.454499999999999</v>
      </c>
      <c r="F475" s="90">
        <v>45413</v>
      </c>
      <c r="G475" s="90">
        <v>51501</v>
      </c>
    </row>
    <row r="476" spans="1:7" x14ac:dyDescent="0.3">
      <c r="A476" t="s">
        <v>1218</v>
      </c>
      <c r="B476" t="s">
        <v>1219</v>
      </c>
      <c r="C476" t="s">
        <v>1108</v>
      </c>
      <c r="D476" t="s">
        <v>620</v>
      </c>
      <c r="E476" s="89">
        <v>11.8033</v>
      </c>
      <c r="F476" s="90">
        <v>45413</v>
      </c>
      <c r="G476" s="90">
        <v>51501</v>
      </c>
    </row>
    <row r="477" spans="1:7" x14ac:dyDescent="0.3">
      <c r="A477" t="s">
        <v>1220</v>
      </c>
      <c r="B477" t="s">
        <v>1219</v>
      </c>
      <c r="C477" t="s">
        <v>1108</v>
      </c>
      <c r="D477" t="s">
        <v>620</v>
      </c>
      <c r="E477" s="89">
        <v>11.8033</v>
      </c>
      <c r="F477" s="90">
        <v>45413</v>
      </c>
      <c r="G477" s="90">
        <v>51501</v>
      </c>
    </row>
    <row r="478" spans="1:7" x14ac:dyDescent="0.3">
      <c r="A478" t="s">
        <v>1218</v>
      </c>
      <c r="B478" t="s">
        <v>1219</v>
      </c>
      <c r="C478" t="s">
        <v>434</v>
      </c>
      <c r="D478" t="s">
        <v>435</v>
      </c>
      <c r="E478" s="89">
        <v>0.50260000000000005</v>
      </c>
      <c r="F478" s="90">
        <v>45413</v>
      </c>
      <c r="G478" s="90">
        <v>51501</v>
      </c>
    </row>
    <row r="479" spans="1:7" x14ac:dyDescent="0.3">
      <c r="A479" t="s">
        <v>1220</v>
      </c>
      <c r="B479" t="s">
        <v>1219</v>
      </c>
      <c r="C479" t="s">
        <v>434</v>
      </c>
      <c r="D479" t="s">
        <v>435</v>
      </c>
      <c r="E479" s="89">
        <v>0.74790000000000001</v>
      </c>
      <c r="F479" s="90">
        <v>45413</v>
      </c>
      <c r="G479" s="90">
        <v>51501</v>
      </c>
    </row>
    <row r="480" spans="1:7" x14ac:dyDescent="0.3">
      <c r="A480" t="s">
        <v>1218</v>
      </c>
      <c r="B480" t="s">
        <v>1219</v>
      </c>
      <c r="C480" t="s">
        <v>1109</v>
      </c>
      <c r="D480" t="s">
        <v>435</v>
      </c>
      <c r="E480" s="89">
        <v>0.50260000000000005</v>
      </c>
      <c r="F480" s="90">
        <v>45413</v>
      </c>
      <c r="G480" s="90">
        <v>51501</v>
      </c>
    </row>
    <row r="481" spans="1:7" x14ac:dyDescent="0.3">
      <c r="A481" t="s">
        <v>1220</v>
      </c>
      <c r="B481" t="s">
        <v>1219</v>
      </c>
      <c r="C481" t="s">
        <v>1109</v>
      </c>
      <c r="D481" t="s">
        <v>435</v>
      </c>
      <c r="E481" s="89">
        <v>0.50260000000000005</v>
      </c>
      <c r="F481" s="90">
        <v>45413</v>
      </c>
      <c r="G481" s="90">
        <v>51501</v>
      </c>
    </row>
    <row r="482" spans="1:7" x14ac:dyDescent="0.3">
      <c r="A482" t="s">
        <v>1218</v>
      </c>
      <c r="B482" t="s">
        <v>1219</v>
      </c>
      <c r="C482" t="s">
        <v>444</v>
      </c>
      <c r="D482" t="s">
        <v>445</v>
      </c>
      <c r="E482" s="89">
        <v>0.51019999999999999</v>
      </c>
      <c r="F482" s="90">
        <v>45413</v>
      </c>
      <c r="G482" s="90">
        <v>51501</v>
      </c>
    </row>
    <row r="483" spans="1:7" x14ac:dyDescent="0.3">
      <c r="A483" t="s">
        <v>1220</v>
      </c>
      <c r="B483" t="s">
        <v>1219</v>
      </c>
      <c r="C483" t="s">
        <v>444</v>
      </c>
      <c r="D483" t="s">
        <v>445</v>
      </c>
      <c r="E483" s="89">
        <v>0.75919999999999999</v>
      </c>
      <c r="F483" s="90">
        <v>45413</v>
      </c>
      <c r="G483" s="90">
        <v>51501</v>
      </c>
    </row>
    <row r="484" spans="1:7" x14ac:dyDescent="0.3">
      <c r="A484" t="s">
        <v>1218</v>
      </c>
      <c r="B484" t="s">
        <v>1219</v>
      </c>
      <c r="C484" t="s">
        <v>1110</v>
      </c>
      <c r="D484" t="s">
        <v>445</v>
      </c>
      <c r="E484" s="89">
        <v>0.51019999999999999</v>
      </c>
      <c r="F484" s="90">
        <v>45413</v>
      </c>
      <c r="G484" s="90">
        <v>51501</v>
      </c>
    </row>
    <row r="485" spans="1:7" x14ac:dyDescent="0.3">
      <c r="A485" t="s">
        <v>1220</v>
      </c>
      <c r="B485" t="s">
        <v>1219</v>
      </c>
      <c r="C485" t="s">
        <v>1110</v>
      </c>
      <c r="D485" t="s">
        <v>445</v>
      </c>
      <c r="E485" s="89">
        <v>0.51019999999999999</v>
      </c>
      <c r="F485" s="90">
        <v>45413</v>
      </c>
      <c r="G485" s="90">
        <v>51501</v>
      </c>
    </row>
    <row r="486" spans="1:7" x14ac:dyDescent="0.3">
      <c r="A486" t="s">
        <v>1218</v>
      </c>
      <c r="B486" t="s">
        <v>1219</v>
      </c>
      <c r="C486" t="s">
        <v>454</v>
      </c>
      <c r="D486" t="s">
        <v>455</v>
      </c>
      <c r="E486" s="89">
        <v>0.51780000000000004</v>
      </c>
      <c r="F486" s="90">
        <v>45413</v>
      </c>
      <c r="G486" s="90">
        <v>51501</v>
      </c>
    </row>
    <row r="487" spans="1:7" x14ac:dyDescent="0.3">
      <c r="A487" t="s">
        <v>1220</v>
      </c>
      <c r="B487" t="s">
        <v>1219</v>
      </c>
      <c r="C487" t="s">
        <v>454</v>
      </c>
      <c r="D487" t="s">
        <v>455</v>
      </c>
      <c r="E487" s="89">
        <v>0.77049999999999996</v>
      </c>
      <c r="F487" s="90">
        <v>45413</v>
      </c>
      <c r="G487" s="90">
        <v>51501</v>
      </c>
    </row>
    <row r="488" spans="1:7" x14ac:dyDescent="0.3">
      <c r="A488" t="s">
        <v>1218</v>
      </c>
      <c r="B488" t="s">
        <v>1219</v>
      </c>
      <c r="C488" t="s">
        <v>1111</v>
      </c>
      <c r="D488" t="s">
        <v>455</v>
      </c>
      <c r="E488" s="89">
        <v>0.51780000000000004</v>
      </c>
      <c r="F488" s="90">
        <v>45413</v>
      </c>
      <c r="G488" s="90">
        <v>51501</v>
      </c>
    </row>
    <row r="489" spans="1:7" x14ac:dyDescent="0.3">
      <c r="A489" t="s">
        <v>1220</v>
      </c>
      <c r="B489" t="s">
        <v>1219</v>
      </c>
      <c r="C489" t="s">
        <v>1111</v>
      </c>
      <c r="D489" t="s">
        <v>455</v>
      </c>
      <c r="E489" s="89">
        <v>0.51780000000000004</v>
      </c>
      <c r="F489" s="90">
        <v>45413</v>
      </c>
      <c r="G489" s="90">
        <v>51501</v>
      </c>
    </row>
    <row r="490" spans="1:7" x14ac:dyDescent="0.3">
      <c r="A490" t="s">
        <v>1218</v>
      </c>
      <c r="B490" t="s">
        <v>1219</v>
      </c>
      <c r="C490" t="s">
        <v>464</v>
      </c>
      <c r="D490" t="s">
        <v>465</v>
      </c>
      <c r="E490" s="89">
        <v>0.51929999999999998</v>
      </c>
      <c r="F490" s="90">
        <v>45413</v>
      </c>
      <c r="G490" s="90">
        <v>51501</v>
      </c>
    </row>
    <row r="491" spans="1:7" x14ac:dyDescent="0.3">
      <c r="A491" t="s">
        <v>1220</v>
      </c>
      <c r="B491" t="s">
        <v>1219</v>
      </c>
      <c r="C491" t="s">
        <v>464</v>
      </c>
      <c r="D491" t="s">
        <v>465</v>
      </c>
      <c r="E491" s="89">
        <v>0.77280000000000004</v>
      </c>
      <c r="F491" s="90">
        <v>45413</v>
      </c>
      <c r="G491" s="90">
        <v>51501</v>
      </c>
    </row>
    <row r="492" spans="1:7" x14ac:dyDescent="0.3">
      <c r="A492" t="s">
        <v>1218</v>
      </c>
      <c r="B492" t="s">
        <v>1219</v>
      </c>
      <c r="C492" t="s">
        <v>1112</v>
      </c>
      <c r="D492" t="s">
        <v>465</v>
      </c>
      <c r="E492" s="89">
        <v>0.51929999999999998</v>
      </c>
      <c r="F492" s="90">
        <v>45413</v>
      </c>
      <c r="G492" s="90">
        <v>51501</v>
      </c>
    </row>
    <row r="493" spans="1:7" x14ac:dyDescent="0.3">
      <c r="A493" t="s">
        <v>1220</v>
      </c>
      <c r="B493" t="s">
        <v>1219</v>
      </c>
      <c r="C493" t="s">
        <v>1112</v>
      </c>
      <c r="D493" t="s">
        <v>465</v>
      </c>
      <c r="E493" s="89">
        <v>0.51929999999999998</v>
      </c>
      <c r="F493" s="90">
        <v>45413</v>
      </c>
      <c r="G493" s="90">
        <v>51501</v>
      </c>
    </row>
    <row r="494" spans="1:7" x14ac:dyDescent="0.3">
      <c r="A494" t="s">
        <v>1218</v>
      </c>
      <c r="B494" t="s">
        <v>1219</v>
      </c>
      <c r="C494" t="s">
        <v>474</v>
      </c>
      <c r="D494" t="s">
        <v>475</v>
      </c>
      <c r="E494" s="89">
        <v>0.53910000000000002</v>
      </c>
      <c r="F494" s="90">
        <v>45413</v>
      </c>
      <c r="G494" s="90">
        <v>51501</v>
      </c>
    </row>
    <row r="495" spans="1:7" x14ac:dyDescent="0.3">
      <c r="A495" t="s">
        <v>1220</v>
      </c>
      <c r="B495" t="s">
        <v>1219</v>
      </c>
      <c r="C495" t="s">
        <v>474</v>
      </c>
      <c r="D495" t="s">
        <v>475</v>
      </c>
      <c r="E495" s="89">
        <v>0.80230000000000001</v>
      </c>
      <c r="F495" s="90">
        <v>45413</v>
      </c>
      <c r="G495" s="90">
        <v>51501</v>
      </c>
    </row>
    <row r="496" spans="1:7" x14ac:dyDescent="0.3">
      <c r="A496" t="s">
        <v>1218</v>
      </c>
      <c r="B496" t="s">
        <v>1219</v>
      </c>
      <c r="C496" t="s">
        <v>1113</v>
      </c>
      <c r="D496" t="s">
        <v>475</v>
      </c>
      <c r="E496" s="89">
        <v>0.53910000000000002</v>
      </c>
      <c r="F496" s="90">
        <v>45413</v>
      </c>
      <c r="G496" s="90">
        <v>51501</v>
      </c>
    </row>
    <row r="497" spans="1:7" x14ac:dyDescent="0.3">
      <c r="A497" t="s">
        <v>1220</v>
      </c>
      <c r="B497" t="s">
        <v>1219</v>
      </c>
      <c r="C497" t="s">
        <v>1113</v>
      </c>
      <c r="D497" t="s">
        <v>475</v>
      </c>
      <c r="E497" s="89">
        <v>0.53910000000000002</v>
      </c>
      <c r="F497" s="90">
        <v>45413</v>
      </c>
      <c r="G497" s="90">
        <v>51501</v>
      </c>
    </row>
    <row r="498" spans="1:7" x14ac:dyDescent="0.3">
      <c r="A498" t="s">
        <v>1218</v>
      </c>
      <c r="B498" t="s">
        <v>1219</v>
      </c>
      <c r="C498" t="s">
        <v>484</v>
      </c>
      <c r="D498" t="s">
        <v>485</v>
      </c>
      <c r="E498" s="89">
        <v>0.54059999999999997</v>
      </c>
      <c r="F498" s="90">
        <v>45413</v>
      </c>
      <c r="G498" s="90">
        <v>51501</v>
      </c>
    </row>
    <row r="499" spans="1:7" x14ac:dyDescent="0.3">
      <c r="A499" t="s">
        <v>1220</v>
      </c>
      <c r="B499" t="s">
        <v>1219</v>
      </c>
      <c r="C499" t="s">
        <v>484</v>
      </c>
      <c r="D499" t="s">
        <v>485</v>
      </c>
      <c r="E499" s="89">
        <v>0.80449999999999999</v>
      </c>
      <c r="F499" s="90">
        <v>45413</v>
      </c>
      <c r="G499" s="90">
        <v>51501</v>
      </c>
    </row>
    <row r="500" spans="1:7" x14ac:dyDescent="0.3">
      <c r="A500" t="s">
        <v>1218</v>
      </c>
      <c r="B500" t="s">
        <v>1219</v>
      </c>
      <c r="C500" t="s">
        <v>1114</v>
      </c>
      <c r="D500" t="s">
        <v>485</v>
      </c>
      <c r="E500" s="89">
        <v>0.54059999999999997</v>
      </c>
      <c r="F500" s="90">
        <v>45413</v>
      </c>
      <c r="G500" s="90">
        <v>51501</v>
      </c>
    </row>
    <row r="501" spans="1:7" x14ac:dyDescent="0.3">
      <c r="A501" t="s">
        <v>1220</v>
      </c>
      <c r="B501" t="s">
        <v>1219</v>
      </c>
      <c r="C501" t="s">
        <v>1114</v>
      </c>
      <c r="D501" t="s">
        <v>485</v>
      </c>
      <c r="E501" s="89">
        <v>0.54059999999999997</v>
      </c>
      <c r="F501" s="90">
        <v>45413</v>
      </c>
      <c r="G501" s="90">
        <v>51501</v>
      </c>
    </row>
    <row r="502" spans="1:7" x14ac:dyDescent="0.3">
      <c r="A502" t="s">
        <v>1218</v>
      </c>
      <c r="B502" t="s">
        <v>1219</v>
      </c>
      <c r="C502" t="s">
        <v>631</v>
      </c>
      <c r="D502" t="s">
        <v>632</v>
      </c>
      <c r="E502" s="89">
        <v>16.987200000000001</v>
      </c>
      <c r="F502" s="90">
        <v>45413</v>
      </c>
      <c r="G502" s="90">
        <v>51501</v>
      </c>
    </row>
    <row r="503" spans="1:7" x14ac:dyDescent="0.3">
      <c r="A503" t="s">
        <v>1220</v>
      </c>
      <c r="B503" t="s">
        <v>1219</v>
      </c>
      <c r="C503" t="s">
        <v>631</v>
      </c>
      <c r="D503" t="s">
        <v>632</v>
      </c>
      <c r="E503" s="89">
        <v>25.1204</v>
      </c>
      <c r="F503" s="90">
        <v>45413</v>
      </c>
      <c r="G503" s="90">
        <v>51501</v>
      </c>
    </row>
    <row r="504" spans="1:7" x14ac:dyDescent="0.3">
      <c r="A504" t="s">
        <v>1218</v>
      </c>
      <c r="B504" t="s">
        <v>1219</v>
      </c>
      <c r="C504" t="s">
        <v>1115</v>
      </c>
      <c r="D504" t="s">
        <v>632</v>
      </c>
      <c r="E504" s="89">
        <v>16.987200000000001</v>
      </c>
      <c r="F504" s="90">
        <v>45413</v>
      </c>
      <c r="G504" s="90">
        <v>51501</v>
      </c>
    </row>
    <row r="505" spans="1:7" x14ac:dyDescent="0.3">
      <c r="A505" t="s">
        <v>1220</v>
      </c>
      <c r="B505" t="s">
        <v>1219</v>
      </c>
      <c r="C505" t="s">
        <v>1115</v>
      </c>
      <c r="D505" t="s">
        <v>632</v>
      </c>
      <c r="E505" s="89">
        <v>16.987200000000001</v>
      </c>
      <c r="F505" s="90">
        <v>45413</v>
      </c>
      <c r="G505" s="90">
        <v>51501</v>
      </c>
    </row>
    <row r="506" spans="1:7" x14ac:dyDescent="0.3">
      <c r="A506" t="s">
        <v>1218</v>
      </c>
      <c r="B506" t="s">
        <v>1219</v>
      </c>
      <c r="C506" t="s">
        <v>494</v>
      </c>
      <c r="D506" t="s">
        <v>495</v>
      </c>
      <c r="E506" s="89">
        <v>0.57110000000000005</v>
      </c>
      <c r="F506" s="90">
        <v>45413</v>
      </c>
      <c r="G506" s="90">
        <v>51501</v>
      </c>
    </row>
    <row r="507" spans="1:7" x14ac:dyDescent="0.3">
      <c r="A507" t="s">
        <v>1220</v>
      </c>
      <c r="B507" t="s">
        <v>1219</v>
      </c>
      <c r="C507" t="s">
        <v>494</v>
      </c>
      <c r="D507" t="s">
        <v>495</v>
      </c>
      <c r="E507" s="89">
        <v>0.84989999999999999</v>
      </c>
      <c r="F507" s="90">
        <v>45413</v>
      </c>
      <c r="G507" s="90">
        <v>51501</v>
      </c>
    </row>
    <row r="508" spans="1:7" x14ac:dyDescent="0.3">
      <c r="A508" t="s">
        <v>1218</v>
      </c>
      <c r="B508" t="s">
        <v>1219</v>
      </c>
      <c r="C508" t="s">
        <v>1116</v>
      </c>
      <c r="D508" t="s">
        <v>495</v>
      </c>
      <c r="E508" s="89">
        <v>0.57110000000000005</v>
      </c>
      <c r="F508" s="90">
        <v>45413</v>
      </c>
      <c r="G508" s="90">
        <v>51501</v>
      </c>
    </row>
    <row r="509" spans="1:7" x14ac:dyDescent="0.3">
      <c r="A509" t="s">
        <v>1220</v>
      </c>
      <c r="B509" t="s">
        <v>1219</v>
      </c>
      <c r="C509" t="s">
        <v>1116</v>
      </c>
      <c r="D509" t="s">
        <v>495</v>
      </c>
      <c r="E509" s="89">
        <v>0.57110000000000005</v>
      </c>
      <c r="F509" s="90">
        <v>45413</v>
      </c>
      <c r="G509" s="90">
        <v>51501</v>
      </c>
    </row>
    <row r="510" spans="1:7" x14ac:dyDescent="0.3">
      <c r="A510" t="s">
        <v>1218</v>
      </c>
      <c r="B510" t="s">
        <v>1219</v>
      </c>
      <c r="C510" t="s">
        <v>442</v>
      </c>
      <c r="D510" t="s">
        <v>443</v>
      </c>
      <c r="E510" s="89">
        <v>1.8142</v>
      </c>
      <c r="F510" s="90">
        <v>45413</v>
      </c>
      <c r="G510" s="90">
        <v>51501</v>
      </c>
    </row>
    <row r="511" spans="1:7" x14ac:dyDescent="0.3">
      <c r="A511" t="s">
        <v>1220</v>
      </c>
      <c r="B511" t="s">
        <v>1219</v>
      </c>
      <c r="C511" t="s">
        <v>442</v>
      </c>
      <c r="D511" t="s">
        <v>443</v>
      </c>
      <c r="E511" s="89">
        <v>2.6861999999999999</v>
      </c>
      <c r="F511" s="90">
        <v>45413</v>
      </c>
      <c r="G511" s="90">
        <v>51501</v>
      </c>
    </row>
    <row r="512" spans="1:7" x14ac:dyDescent="0.3">
      <c r="A512" t="s">
        <v>1218</v>
      </c>
      <c r="B512" t="s">
        <v>1219</v>
      </c>
      <c r="C512" t="s">
        <v>1117</v>
      </c>
      <c r="D512" t="s">
        <v>443</v>
      </c>
      <c r="E512" s="89">
        <v>1.8142</v>
      </c>
      <c r="F512" s="90">
        <v>45413</v>
      </c>
      <c r="G512" s="90">
        <v>51501</v>
      </c>
    </row>
    <row r="513" spans="1:7" x14ac:dyDescent="0.3">
      <c r="A513" t="s">
        <v>1220</v>
      </c>
      <c r="B513" t="s">
        <v>1219</v>
      </c>
      <c r="C513" t="s">
        <v>1117</v>
      </c>
      <c r="D513" t="s">
        <v>443</v>
      </c>
      <c r="E513" s="89">
        <v>1.8142</v>
      </c>
      <c r="F513" s="90">
        <v>45413</v>
      </c>
      <c r="G513" s="90">
        <v>51501</v>
      </c>
    </row>
    <row r="514" spans="1:7" x14ac:dyDescent="0.3">
      <c r="A514" t="s">
        <v>1218</v>
      </c>
      <c r="B514" t="s">
        <v>1219</v>
      </c>
      <c r="C514" t="s">
        <v>462</v>
      </c>
      <c r="D514" t="s">
        <v>463</v>
      </c>
      <c r="E514" s="89">
        <v>1.9502999999999999</v>
      </c>
      <c r="F514" s="90">
        <v>45413</v>
      </c>
      <c r="G514" s="90">
        <v>51501</v>
      </c>
    </row>
    <row r="515" spans="1:7" x14ac:dyDescent="0.3">
      <c r="A515" t="s">
        <v>1220</v>
      </c>
      <c r="B515" t="s">
        <v>1219</v>
      </c>
      <c r="C515" t="s">
        <v>462</v>
      </c>
      <c r="D515" t="s">
        <v>463</v>
      </c>
      <c r="E515" s="89">
        <v>2.8877000000000002</v>
      </c>
      <c r="F515" s="90">
        <v>45413</v>
      </c>
      <c r="G515" s="90">
        <v>51501</v>
      </c>
    </row>
    <row r="516" spans="1:7" x14ac:dyDescent="0.3">
      <c r="A516" t="s">
        <v>1218</v>
      </c>
      <c r="B516" t="s">
        <v>1219</v>
      </c>
      <c r="C516" t="s">
        <v>1118</v>
      </c>
      <c r="D516" t="s">
        <v>463</v>
      </c>
      <c r="E516" s="89">
        <v>1.9502999999999999</v>
      </c>
      <c r="F516" s="90">
        <v>45413</v>
      </c>
      <c r="G516" s="90">
        <v>51501</v>
      </c>
    </row>
    <row r="517" spans="1:7" x14ac:dyDescent="0.3">
      <c r="A517" t="s">
        <v>1220</v>
      </c>
      <c r="B517" t="s">
        <v>1219</v>
      </c>
      <c r="C517" t="s">
        <v>1118</v>
      </c>
      <c r="D517" t="s">
        <v>463</v>
      </c>
      <c r="E517" s="89">
        <v>1.9502999999999999</v>
      </c>
      <c r="F517" s="90">
        <v>45413</v>
      </c>
      <c r="G517" s="90">
        <v>51501</v>
      </c>
    </row>
    <row r="518" spans="1:7" x14ac:dyDescent="0.3">
      <c r="A518" t="s">
        <v>1218</v>
      </c>
      <c r="B518" t="s">
        <v>1219</v>
      </c>
      <c r="C518" t="s">
        <v>873</v>
      </c>
      <c r="D518" t="s">
        <v>874</v>
      </c>
      <c r="E518" s="89">
        <v>0.61529999999999996</v>
      </c>
      <c r="F518" s="90">
        <v>45413</v>
      </c>
      <c r="G518" s="90">
        <v>51501</v>
      </c>
    </row>
    <row r="519" spans="1:7" x14ac:dyDescent="0.3">
      <c r="A519" t="s">
        <v>1220</v>
      </c>
      <c r="B519" t="s">
        <v>1219</v>
      </c>
      <c r="C519" t="s">
        <v>873</v>
      </c>
      <c r="D519" t="s">
        <v>874</v>
      </c>
      <c r="E519" s="89">
        <v>0.91559999999999997</v>
      </c>
      <c r="F519" s="90">
        <v>45413</v>
      </c>
      <c r="G519" s="90">
        <v>51501</v>
      </c>
    </row>
    <row r="520" spans="1:7" x14ac:dyDescent="0.3">
      <c r="A520" t="s">
        <v>1218</v>
      </c>
      <c r="B520" t="s">
        <v>1219</v>
      </c>
      <c r="C520" t="s">
        <v>1119</v>
      </c>
      <c r="D520" t="s">
        <v>874</v>
      </c>
      <c r="E520" s="89">
        <v>0.61529999999999996</v>
      </c>
      <c r="F520" s="90">
        <v>45413</v>
      </c>
      <c r="G520" s="90">
        <v>51501</v>
      </c>
    </row>
    <row r="521" spans="1:7" x14ac:dyDescent="0.3">
      <c r="A521" t="s">
        <v>1220</v>
      </c>
      <c r="B521" t="s">
        <v>1219</v>
      </c>
      <c r="C521" t="s">
        <v>1119</v>
      </c>
      <c r="D521" t="s">
        <v>874</v>
      </c>
      <c r="E521" s="89">
        <v>0.61529999999999996</v>
      </c>
      <c r="F521" s="90">
        <v>45413</v>
      </c>
      <c r="G521" s="90">
        <v>51501</v>
      </c>
    </row>
    <row r="522" spans="1:7" x14ac:dyDescent="0.3">
      <c r="A522" t="s">
        <v>1218</v>
      </c>
      <c r="B522" t="s">
        <v>1219</v>
      </c>
      <c r="C522" t="s">
        <v>504</v>
      </c>
      <c r="D522" t="s">
        <v>505</v>
      </c>
      <c r="E522" s="89">
        <v>0.67010000000000003</v>
      </c>
      <c r="F522" s="90">
        <v>45413</v>
      </c>
      <c r="G522" s="90">
        <v>51501</v>
      </c>
    </row>
    <row r="523" spans="1:7" x14ac:dyDescent="0.3">
      <c r="A523" t="s">
        <v>1220</v>
      </c>
      <c r="B523" t="s">
        <v>1219</v>
      </c>
      <c r="C523" t="s">
        <v>504</v>
      </c>
      <c r="D523" t="s">
        <v>505</v>
      </c>
      <c r="E523" s="89">
        <v>0.99719999999999998</v>
      </c>
      <c r="F523" s="90">
        <v>45413</v>
      </c>
      <c r="G523" s="90">
        <v>51501</v>
      </c>
    </row>
    <row r="524" spans="1:7" x14ac:dyDescent="0.3">
      <c r="A524" t="s">
        <v>1218</v>
      </c>
      <c r="B524" t="s">
        <v>1219</v>
      </c>
      <c r="C524" t="s">
        <v>1120</v>
      </c>
      <c r="D524" t="s">
        <v>505</v>
      </c>
      <c r="E524" s="89">
        <v>0.67010000000000003</v>
      </c>
      <c r="F524" s="90">
        <v>45413</v>
      </c>
      <c r="G524" s="90">
        <v>51501</v>
      </c>
    </row>
    <row r="525" spans="1:7" x14ac:dyDescent="0.3">
      <c r="A525" t="s">
        <v>1220</v>
      </c>
      <c r="B525" t="s">
        <v>1219</v>
      </c>
      <c r="C525" t="s">
        <v>1120</v>
      </c>
      <c r="D525" t="s">
        <v>505</v>
      </c>
      <c r="E525" s="89">
        <v>0.67010000000000003</v>
      </c>
      <c r="F525" s="90">
        <v>45413</v>
      </c>
      <c r="G525" s="90">
        <v>51501</v>
      </c>
    </row>
    <row r="526" spans="1:7" x14ac:dyDescent="0.3">
      <c r="A526" t="s">
        <v>1218</v>
      </c>
      <c r="B526" t="s">
        <v>1219</v>
      </c>
      <c r="C526" t="s">
        <v>515</v>
      </c>
      <c r="D526" t="s">
        <v>516</v>
      </c>
      <c r="E526" s="89">
        <v>0.68530000000000002</v>
      </c>
      <c r="F526" s="90">
        <v>45413</v>
      </c>
      <c r="G526" s="90">
        <v>51501</v>
      </c>
    </row>
    <row r="527" spans="1:7" x14ac:dyDescent="0.3">
      <c r="A527" t="s">
        <v>1220</v>
      </c>
      <c r="B527" t="s">
        <v>1219</v>
      </c>
      <c r="C527" t="s">
        <v>515</v>
      </c>
      <c r="D527" t="s">
        <v>516</v>
      </c>
      <c r="E527" s="89">
        <v>1.0198</v>
      </c>
      <c r="F527" s="90">
        <v>45413</v>
      </c>
      <c r="G527" s="90">
        <v>51501</v>
      </c>
    </row>
    <row r="528" spans="1:7" x14ac:dyDescent="0.3">
      <c r="A528" t="s">
        <v>1218</v>
      </c>
      <c r="B528" t="s">
        <v>1219</v>
      </c>
      <c r="C528" t="s">
        <v>1121</v>
      </c>
      <c r="D528" t="s">
        <v>516</v>
      </c>
      <c r="E528" s="89">
        <v>0.68530000000000002</v>
      </c>
      <c r="F528" s="90">
        <v>45413</v>
      </c>
      <c r="G528" s="90">
        <v>51501</v>
      </c>
    </row>
    <row r="529" spans="1:7" x14ac:dyDescent="0.3">
      <c r="A529" t="s">
        <v>1220</v>
      </c>
      <c r="B529" t="s">
        <v>1219</v>
      </c>
      <c r="C529" t="s">
        <v>1121</v>
      </c>
      <c r="D529" t="s">
        <v>516</v>
      </c>
      <c r="E529" s="89">
        <v>0.68530000000000002</v>
      </c>
      <c r="F529" s="90">
        <v>45413</v>
      </c>
      <c r="G529" s="90">
        <v>51501</v>
      </c>
    </row>
    <row r="530" spans="1:7" x14ac:dyDescent="0.3">
      <c r="A530" t="s">
        <v>1218</v>
      </c>
      <c r="B530" t="s">
        <v>1219</v>
      </c>
      <c r="C530" t="s">
        <v>523</v>
      </c>
      <c r="D530" t="s">
        <v>524</v>
      </c>
      <c r="E530" s="89">
        <v>0.72030000000000005</v>
      </c>
      <c r="F530" s="90">
        <v>45413</v>
      </c>
      <c r="G530" s="90">
        <v>51501</v>
      </c>
    </row>
    <row r="531" spans="1:7" x14ac:dyDescent="0.3">
      <c r="A531" t="s">
        <v>1220</v>
      </c>
      <c r="B531" t="s">
        <v>1219</v>
      </c>
      <c r="C531" t="s">
        <v>523</v>
      </c>
      <c r="D531" t="s">
        <v>524</v>
      </c>
      <c r="E531" s="89">
        <v>1.0720000000000001</v>
      </c>
      <c r="F531" s="90">
        <v>45413</v>
      </c>
      <c r="G531" s="90">
        <v>51501</v>
      </c>
    </row>
    <row r="532" spans="1:7" x14ac:dyDescent="0.3">
      <c r="A532" t="s">
        <v>1218</v>
      </c>
      <c r="B532" t="s">
        <v>1219</v>
      </c>
      <c r="C532" t="s">
        <v>1122</v>
      </c>
      <c r="D532" t="s">
        <v>524</v>
      </c>
      <c r="E532" s="89">
        <v>0.72030000000000005</v>
      </c>
      <c r="F532" s="90">
        <v>45413</v>
      </c>
      <c r="G532" s="90">
        <v>51501</v>
      </c>
    </row>
    <row r="533" spans="1:7" x14ac:dyDescent="0.3">
      <c r="A533" t="s">
        <v>1220</v>
      </c>
      <c r="B533" t="s">
        <v>1219</v>
      </c>
      <c r="C533" t="s">
        <v>1122</v>
      </c>
      <c r="D533" t="s">
        <v>524</v>
      </c>
      <c r="E533" s="89">
        <v>0.72030000000000005</v>
      </c>
      <c r="F533" s="90">
        <v>45413</v>
      </c>
      <c r="G533" s="90">
        <v>51501</v>
      </c>
    </row>
    <row r="534" spans="1:7" x14ac:dyDescent="0.3">
      <c r="A534" t="s">
        <v>1218</v>
      </c>
      <c r="B534" t="s">
        <v>1219</v>
      </c>
      <c r="C534" t="s">
        <v>1123</v>
      </c>
      <c r="D534" t="s">
        <v>1124</v>
      </c>
      <c r="E534" s="89">
        <v>17.343299999999999</v>
      </c>
      <c r="F534" s="90">
        <v>45413</v>
      </c>
      <c r="G534" s="90">
        <v>51501</v>
      </c>
    </row>
    <row r="535" spans="1:7" x14ac:dyDescent="0.3">
      <c r="A535" t="s">
        <v>1220</v>
      </c>
      <c r="B535" t="s">
        <v>1219</v>
      </c>
      <c r="C535" t="s">
        <v>1123</v>
      </c>
      <c r="D535" t="s">
        <v>1124</v>
      </c>
      <c r="E535" s="89">
        <v>25.6128</v>
      </c>
      <c r="F535" s="90">
        <v>45413</v>
      </c>
      <c r="G535" s="90">
        <v>51501</v>
      </c>
    </row>
    <row r="536" spans="1:7" x14ac:dyDescent="0.3">
      <c r="A536" t="s">
        <v>1218</v>
      </c>
      <c r="B536" t="s">
        <v>1219</v>
      </c>
      <c r="C536" t="s">
        <v>1125</v>
      </c>
      <c r="D536" t="s">
        <v>1124</v>
      </c>
      <c r="E536" s="89">
        <v>17.343299999999999</v>
      </c>
      <c r="F536" s="90">
        <v>45413</v>
      </c>
      <c r="G536" s="90">
        <v>51501</v>
      </c>
    </row>
    <row r="537" spans="1:7" x14ac:dyDescent="0.3">
      <c r="A537" t="s">
        <v>1220</v>
      </c>
      <c r="B537" t="s">
        <v>1219</v>
      </c>
      <c r="C537" t="s">
        <v>1125</v>
      </c>
      <c r="D537" t="s">
        <v>1124</v>
      </c>
      <c r="E537" s="89">
        <v>17.343299999999999</v>
      </c>
      <c r="F537" s="90">
        <v>45413</v>
      </c>
      <c r="G537" s="90">
        <v>51501</v>
      </c>
    </row>
    <row r="538" spans="1:7" x14ac:dyDescent="0.3">
      <c r="A538" t="s">
        <v>1218</v>
      </c>
      <c r="B538" t="s">
        <v>1219</v>
      </c>
      <c r="C538" t="s">
        <v>928</v>
      </c>
      <c r="D538" t="s">
        <v>929</v>
      </c>
      <c r="E538" s="89">
        <v>23.1081</v>
      </c>
      <c r="F538" s="90">
        <v>45413</v>
      </c>
      <c r="G538" s="90">
        <v>51501</v>
      </c>
    </row>
    <row r="539" spans="1:7" x14ac:dyDescent="0.3">
      <c r="A539" t="s">
        <v>1220</v>
      </c>
      <c r="B539" t="s">
        <v>1219</v>
      </c>
      <c r="C539" t="s">
        <v>928</v>
      </c>
      <c r="D539" t="s">
        <v>929</v>
      </c>
      <c r="E539" s="89">
        <v>34.126399999999997</v>
      </c>
      <c r="F539" s="90">
        <v>45413</v>
      </c>
      <c r="G539" s="90">
        <v>51501</v>
      </c>
    </row>
    <row r="540" spans="1:7" x14ac:dyDescent="0.3">
      <c r="A540" t="s">
        <v>1218</v>
      </c>
      <c r="B540" t="s">
        <v>1219</v>
      </c>
      <c r="C540" t="s">
        <v>1126</v>
      </c>
      <c r="D540" t="s">
        <v>929</v>
      </c>
      <c r="E540" s="89">
        <v>23.1081</v>
      </c>
      <c r="F540" s="90">
        <v>45413</v>
      </c>
      <c r="G540" s="90">
        <v>51501</v>
      </c>
    </row>
    <row r="541" spans="1:7" x14ac:dyDescent="0.3">
      <c r="A541" t="s">
        <v>1220</v>
      </c>
      <c r="B541" t="s">
        <v>1219</v>
      </c>
      <c r="C541" t="s">
        <v>1126</v>
      </c>
      <c r="D541" t="s">
        <v>929</v>
      </c>
      <c r="E541" s="89">
        <v>23.1081</v>
      </c>
      <c r="F541" s="90">
        <v>45413</v>
      </c>
      <c r="G541" s="90">
        <v>51501</v>
      </c>
    </row>
    <row r="542" spans="1:7" x14ac:dyDescent="0.3">
      <c r="A542" t="s">
        <v>1218</v>
      </c>
      <c r="B542" t="s">
        <v>1219</v>
      </c>
      <c r="C542" t="s">
        <v>930</v>
      </c>
      <c r="D542" t="s">
        <v>931</v>
      </c>
      <c r="E542" s="89">
        <v>1.3523000000000001</v>
      </c>
      <c r="F542" s="90">
        <v>45413</v>
      </c>
      <c r="G542" s="90">
        <v>51501</v>
      </c>
    </row>
    <row r="543" spans="1:7" x14ac:dyDescent="0.3">
      <c r="A543" t="s">
        <v>1220</v>
      </c>
      <c r="B543" t="s">
        <v>1219</v>
      </c>
      <c r="C543" t="s">
        <v>930</v>
      </c>
      <c r="D543" t="s">
        <v>931</v>
      </c>
      <c r="E543" s="89">
        <v>2.0125000000000002</v>
      </c>
      <c r="F543" s="90">
        <v>45413</v>
      </c>
      <c r="G543" s="90">
        <v>51501</v>
      </c>
    </row>
    <row r="544" spans="1:7" x14ac:dyDescent="0.3">
      <c r="A544" t="s">
        <v>1218</v>
      </c>
      <c r="B544" t="s">
        <v>1219</v>
      </c>
      <c r="C544" t="s">
        <v>1127</v>
      </c>
      <c r="D544" t="s">
        <v>931</v>
      </c>
      <c r="E544" s="89">
        <v>1.3523000000000001</v>
      </c>
      <c r="F544" s="90">
        <v>45413</v>
      </c>
      <c r="G544" s="90">
        <v>51501</v>
      </c>
    </row>
    <row r="545" spans="1:7" x14ac:dyDescent="0.3">
      <c r="A545" t="s">
        <v>1220</v>
      </c>
      <c r="B545" t="s">
        <v>1219</v>
      </c>
      <c r="C545" t="s">
        <v>1127</v>
      </c>
      <c r="D545" t="s">
        <v>931</v>
      </c>
      <c r="E545" s="89">
        <v>1.3523000000000001</v>
      </c>
      <c r="F545" s="90">
        <v>45413</v>
      </c>
      <c r="G545" s="90">
        <v>51501</v>
      </c>
    </row>
    <row r="546" spans="1:7" x14ac:dyDescent="0.3">
      <c r="A546" t="s">
        <v>1218</v>
      </c>
      <c r="B546" t="s">
        <v>1219</v>
      </c>
      <c r="C546" t="s">
        <v>1128</v>
      </c>
      <c r="D546" t="s">
        <v>1129</v>
      </c>
      <c r="E546" s="89">
        <v>1.4376</v>
      </c>
      <c r="F546" s="90">
        <v>45413</v>
      </c>
      <c r="G546" s="90">
        <v>51501</v>
      </c>
    </row>
    <row r="547" spans="1:7" x14ac:dyDescent="0.3">
      <c r="A547" t="s">
        <v>1220</v>
      </c>
      <c r="B547" t="s">
        <v>1219</v>
      </c>
      <c r="C547" t="s">
        <v>1128</v>
      </c>
      <c r="D547" t="s">
        <v>1129</v>
      </c>
      <c r="E547" s="89">
        <v>2.1394000000000002</v>
      </c>
      <c r="F547" s="90">
        <v>45413</v>
      </c>
      <c r="G547" s="90">
        <v>51501</v>
      </c>
    </row>
    <row r="548" spans="1:7" x14ac:dyDescent="0.3">
      <c r="A548" t="s">
        <v>1218</v>
      </c>
      <c r="B548" t="s">
        <v>1219</v>
      </c>
      <c r="C548" t="s">
        <v>1130</v>
      </c>
      <c r="D548" t="s">
        <v>1129</v>
      </c>
      <c r="E548" s="89">
        <v>1.4376</v>
      </c>
      <c r="F548" s="90">
        <v>45413</v>
      </c>
      <c r="G548" s="90">
        <v>51501</v>
      </c>
    </row>
    <row r="549" spans="1:7" x14ac:dyDescent="0.3">
      <c r="A549" t="s">
        <v>1220</v>
      </c>
      <c r="B549" t="s">
        <v>1219</v>
      </c>
      <c r="C549" t="s">
        <v>1130</v>
      </c>
      <c r="D549" t="s">
        <v>1129</v>
      </c>
      <c r="E549" s="89">
        <v>1.4376</v>
      </c>
      <c r="F549" s="90">
        <v>45413</v>
      </c>
      <c r="G549" s="90">
        <v>51501</v>
      </c>
    </row>
    <row r="550" spans="1:7" x14ac:dyDescent="0.3">
      <c r="A550" t="s">
        <v>1218</v>
      </c>
      <c r="B550" t="s">
        <v>1219</v>
      </c>
      <c r="C550" t="s">
        <v>452</v>
      </c>
      <c r="D550" t="s">
        <v>453</v>
      </c>
      <c r="E550" s="89">
        <v>1.8142</v>
      </c>
      <c r="F550" s="90">
        <v>45413</v>
      </c>
      <c r="G550" s="90">
        <v>51501</v>
      </c>
    </row>
    <row r="551" spans="1:7" x14ac:dyDescent="0.3">
      <c r="A551" t="s">
        <v>1220</v>
      </c>
      <c r="B551" t="s">
        <v>1219</v>
      </c>
      <c r="C551" t="s">
        <v>452</v>
      </c>
      <c r="D551" t="s">
        <v>453</v>
      </c>
      <c r="E551" s="89">
        <v>2.6861999999999999</v>
      </c>
      <c r="F551" s="90">
        <v>45413</v>
      </c>
      <c r="G551" s="90">
        <v>51501</v>
      </c>
    </row>
    <row r="552" spans="1:7" x14ac:dyDescent="0.3">
      <c r="A552" t="s">
        <v>1218</v>
      </c>
      <c r="B552" t="s">
        <v>1219</v>
      </c>
      <c r="C552" t="s">
        <v>1131</v>
      </c>
      <c r="D552" t="s">
        <v>453</v>
      </c>
      <c r="E552" s="89">
        <v>1.8142</v>
      </c>
      <c r="F552" s="90">
        <v>45413</v>
      </c>
      <c r="G552" s="90">
        <v>51501</v>
      </c>
    </row>
    <row r="553" spans="1:7" x14ac:dyDescent="0.3">
      <c r="A553" t="s">
        <v>1220</v>
      </c>
      <c r="B553" t="s">
        <v>1219</v>
      </c>
      <c r="C553" t="s">
        <v>1131</v>
      </c>
      <c r="D553" t="s">
        <v>453</v>
      </c>
      <c r="E553" s="89">
        <v>1.8142</v>
      </c>
      <c r="F553" s="90">
        <v>45413</v>
      </c>
      <c r="G553" s="90">
        <v>51501</v>
      </c>
    </row>
    <row r="554" spans="1:7" x14ac:dyDescent="0.3">
      <c r="A554" t="s">
        <v>1218</v>
      </c>
      <c r="B554" t="s">
        <v>1219</v>
      </c>
      <c r="C554" t="s">
        <v>934</v>
      </c>
      <c r="D554" t="s">
        <v>935</v>
      </c>
      <c r="E554" s="89">
        <v>11.1919</v>
      </c>
      <c r="F554" s="90">
        <v>45413</v>
      </c>
      <c r="G554" s="90">
        <v>51501</v>
      </c>
    </row>
    <row r="555" spans="1:7" x14ac:dyDescent="0.3">
      <c r="A555" t="s">
        <v>1220</v>
      </c>
      <c r="B555" t="s">
        <v>1219</v>
      </c>
      <c r="C555" t="s">
        <v>934</v>
      </c>
      <c r="D555" t="s">
        <v>935</v>
      </c>
      <c r="E555" s="89">
        <v>16.5504</v>
      </c>
      <c r="F555" s="90">
        <v>45413</v>
      </c>
      <c r="G555" s="90">
        <v>51501</v>
      </c>
    </row>
    <row r="556" spans="1:7" x14ac:dyDescent="0.3">
      <c r="A556" t="s">
        <v>1218</v>
      </c>
      <c r="B556" t="s">
        <v>1219</v>
      </c>
      <c r="C556" t="s">
        <v>1132</v>
      </c>
      <c r="D556" t="s">
        <v>935</v>
      </c>
      <c r="E556" s="89">
        <v>11.1919</v>
      </c>
      <c r="F556" s="90">
        <v>45413</v>
      </c>
      <c r="G556" s="90">
        <v>51501</v>
      </c>
    </row>
    <row r="557" spans="1:7" x14ac:dyDescent="0.3">
      <c r="A557" t="s">
        <v>1220</v>
      </c>
      <c r="B557" t="s">
        <v>1219</v>
      </c>
      <c r="C557" t="s">
        <v>1132</v>
      </c>
      <c r="D557" t="s">
        <v>935</v>
      </c>
      <c r="E557" s="89">
        <v>11.1919</v>
      </c>
      <c r="F557" s="90">
        <v>45413</v>
      </c>
      <c r="G557" s="90">
        <v>51501</v>
      </c>
    </row>
    <row r="558" spans="1:7" x14ac:dyDescent="0.3">
      <c r="A558" t="s">
        <v>1218</v>
      </c>
      <c r="B558" t="s">
        <v>1219</v>
      </c>
      <c r="C558" t="s">
        <v>1133</v>
      </c>
      <c r="D558" t="s">
        <v>1134</v>
      </c>
      <c r="E558" s="89">
        <v>1.9516</v>
      </c>
      <c r="F558" s="90">
        <v>45413</v>
      </c>
      <c r="G558" s="90">
        <v>51501</v>
      </c>
    </row>
    <row r="559" spans="1:7" x14ac:dyDescent="0.3">
      <c r="A559" t="s">
        <v>1220</v>
      </c>
      <c r="B559" t="s">
        <v>1219</v>
      </c>
      <c r="C559" t="s">
        <v>1133</v>
      </c>
      <c r="D559" t="s">
        <v>1134</v>
      </c>
      <c r="E559" s="89">
        <v>2.8896999999999999</v>
      </c>
      <c r="F559" s="90">
        <v>45413</v>
      </c>
      <c r="G559" s="90">
        <v>51501</v>
      </c>
    </row>
    <row r="560" spans="1:7" x14ac:dyDescent="0.3">
      <c r="A560" t="s">
        <v>1218</v>
      </c>
      <c r="B560" t="s">
        <v>1219</v>
      </c>
      <c r="C560" t="s">
        <v>1135</v>
      </c>
      <c r="D560" t="s">
        <v>1134</v>
      </c>
      <c r="E560" s="89">
        <v>1.9516</v>
      </c>
      <c r="F560" s="90">
        <v>45413</v>
      </c>
      <c r="G560" s="90">
        <v>51501</v>
      </c>
    </row>
    <row r="561" spans="1:7" x14ac:dyDescent="0.3">
      <c r="A561" t="s">
        <v>1220</v>
      </c>
      <c r="B561" t="s">
        <v>1219</v>
      </c>
      <c r="C561" t="s">
        <v>1135</v>
      </c>
      <c r="D561" t="s">
        <v>1134</v>
      </c>
      <c r="E561" s="89">
        <v>1.9516</v>
      </c>
      <c r="F561" s="90">
        <v>45413</v>
      </c>
      <c r="G561" s="90">
        <v>51501</v>
      </c>
    </row>
    <row r="562" spans="1:7" x14ac:dyDescent="0.3">
      <c r="A562" t="s">
        <v>1218</v>
      </c>
      <c r="B562" t="s">
        <v>1219</v>
      </c>
      <c r="C562" t="s">
        <v>1136</v>
      </c>
      <c r="D562" t="s">
        <v>1137</v>
      </c>
      <c r="E562" s="89">
        <v>2.4188999999999998</v>
      </c>
      <c r="F562" s="90">
        <v>45413</v>
      </c>
      <c r="G562" s="90">
        <v>51501</v>
      </c>
    </row>
    <row r="563" spans="1:7" x14ac:dyDescent="0.3">
      <c r="A563" t="s">
        <v>1220</v>
      </c>
      <c r="B563" t="s">
        <v>1219</v>
      </c>
      <c r="C563" t="s">
        <v>1136</v>
      </c>
      <c r="D563" t="s">
        <v>1137</v>
      </c>
      <c r="E563" s="89">
        <v>3.5815999999999999</v>
      </c>
      <c r="F563" s="90">
        <v>45413</v>
      </c>
      <c r="G563" s="90">
        <v>51501</v>
      </c>
    </row>
    <row r="564" spans="1:7" x14ac:dyDescent="0.3">
      <c r="A564" t="s">
        <v>1218</v>
      </c>
      <c r="B564" t="s">
        <v>1219</v>
      </c>
      <c r="C564" t="s">
        <v>1138</v>
      </c>
      <c r="D564" t="s">
        <v>1137</v>
      </c>
      <c r="E564" s="89">
        <v>2.4188999999999998</v>
      </c>
      <c r="F564" s="90">
        <v>45413</v>
      </c>
      <c r="G564" s="90">
        <v>51501</v>
      </c>
    </row>
    <row r="565" spans="1:7" x14ac:dyDescent="0.3">
      <c r="A565" t="s">
        <v>1220</v>
      </c>
      <c r="B565" t="s">
        <v>1219</v>
      </c>
      <c r="C565" t="s">
        <v>1138</v>
      </c>
      <c r="D565" t="s">
        <v>1137</v>
      </c>
      <c r="E565" s="89">
        <v>2.4188999999999998</v>
      </c>
      <c r="F565" s="90">
        <v>45413</v>
      </c>
      <c r="G565" s="90">
        <v>51501</v>
      </c>
    </row>
    <row r="566" spans="1:7" x14ac:dyDescent="0.3">
      <c r="A566" t="s">
        <v>1218</v>
      </c>
      <c r="B566" t="s">
        <v>1219</v>
      </c>
      <c r="C566" t="s">
        <v>920</v>
      </c>
      <c r="D566" t="s">
        <v>921</v>
      </c>
      <c r="E566" s="89">
        <v>3.9748000000000001</v>
      </c>
      <c r="F566" s="90">
        <v>45413</v>
      </c>
      <c r="G566" s="90">
        <v>51501</v>
      </c>
    </row>
    <row r="567" spans="1:7" x14ac:dyDescent="0.3">
      <c r="A567" t="s">
        <v>1220</v>
      </c>
      <c r="B567" t="s">
        <v>1219</v>
      </c>
      <c r="C567" t="s">
        <v>920</v>
      </c>
      <c r="D567" t="s">
        <v>921</v>
      </c>
      <c r="E567" s="89">
        <v>5.8852000000000002</v>
      </c>
      <c r="F567" s="90">
        <v>45413</v>
      </c>
      <c r="G567" s="90">
        <v>51501</v>
      </c>
    </row>
    <row r="568" spans="1:7" x14ac:dyDescent="0.3">
      <c r="A568" t="s">
        <v>1218</v>
      </c>
      <c r="B568" t="s">
        <v>1219</v>
      </c>
      <c r="C568" t="s">
        <v>1139</v>
      </c>
      <c r="D568" t="s">
        <v>921</v>
      </c>
      <c r="E568" s="89">
        <v>3.9748000000000001</v>
      </c>
      <c r="F568" s="90">
        <v>45413</v>
      </c>
      <c r="G568" s="90">
        <v>51501</v>
      </c>
    </row>
    <row r="569" spans="1:7" x14ac:dyDescent="0.3">
      <c r="A569" t="s">
        <v>1220</v>
      </c>
      <c r="B569" t="s">
        <v>1219</v>
      </c>
      <c r="C569" t="s">
        <v>1139</v>
      </c>
      <c r="D569" t="s">
        <v>921</v>
      </c>
      <c r="E569" s="89">
        <v>3.9748000000000001</v>
      </c>
      <c r="F569" s="90">
        <v>45413</v>
      </c>
      <c r="G569" s="90">
        <v>51501</v>
      </c>
    </row>
    <row r="570" spans="1:7" x14ac:dyDescent="0.3">
      <c r="A570" t="s">
        <v>1218</v>
      </c>
      <c r="B570" t="s">
        <v>1219</v>
      </c>
      <c r="C570" t="s">
        <v>905</v>
      </c>
      <c r="D570" t="s">
        <v>473</v>
      </c>
      <c r="E570" s="89">
        <v>2.6004</v>
      </c>
      <c r="F570" s="90">
        <v>45413</v>
      </c>
      <c r="G570" s="90">
        <v>51501</v>
      </c>
    </row>
    <row r="571" spans="1:7" x14ac:dyDescent="0.3">
      <c r="A571" t="s">
        <v>1220</v>
      </c>
      <c r="B571" t="s">
        <v>1219</v>
      </c>
      <c r="C571" t="s">
        <v>905</v>
      </c>
      <c r="D571" t="s">
        <v>473</v>
      </c>
      <c r="E571" s="89">
        <v>3.8502000000000001</v>
      </c>
      <c r="F571" s="90">
        <v>45413</v>
      </c>
      <c r="G571" s="90">
        <v>51501</v>
      </c>
    </row>
    <row r="572" spans="1:7" x14ac:dyDescent="0.3">
      <c r="A572" t="s">
        <v>1218</v>
      </c>
      <c r="B572" t="s">
        <v>1219</v>
      </c>
      <c r="C572" t="s">
        <v>1140</v>
      </c>
      <c r="D572" t="s">
        <v>473</v>
      </c>
      <c r="E572" s="89">
        <v>2.6004</v>
      </c>
      <c r="F572" s="90">
        <v>45413</v>
      </c>
      <c r="G572" s="90">
        <v>51501</v>
      </c>
    </row>
    <row r="573" spans="1:7" x14ac:dyDescent="0.3">
      <c r="A573" t="s">
        <v>1220</v>
      </c>
      <c r="B573" t="s">
        <v>1219</v>
      </c>
      <c r="C573" t="s">
        <v>1140</v>
      </c>
      <c r="D573" t="s">
        <v>473</v>
      </c>
      <c r="E573" s="89">
        <v>2.6004</v>
      </c>
      <c r="F573" s="90">
        <v>45413</v>
      </c>
      <c r="G573" s="90">
        <v>51501</v>
      </c>
    </row>
    <row r="574" spans="1:7" x14ac:dyDescent="0.3">
      <c r="A574" t="s">
        <v>1218</v>
      </c>
      <c r="B574" t="s">
        <v>1219</v>
      </c>
      <c r="C574" t="s">
        <v>951</v>
      </c>
      <c r="D574" t="s">
        <v>1141</v>
      </c>
      <c r="E574" s="89">
        <v>2.6387999999999998</v>
      </c>
      <c r="F574" s="90">
        <v>45413</v>
      </c>
      <c r="G574" s="90">
        <v>51501</v>
      </c>
    </row>
    <row r="575" spans="1:7" x14ac:dyDescent="0.3">
      <c r="A575" t="s">
        <v>1220</v>
      </c>
      <c r="B575" t="s">
        <v>1219</v>
      </c>
      <c r="C575" t="s">
        <v>951</v>
      </c>
      <c r="D575" t="s">
        <v>1141</v>
      </c>
      <c r="E575" s="89">
        <v>3.9072</v>
      </c>
      <c r="F575" s="90">
        <v>45413</v>
      </c>
      <c r="G575" s="90">
        <v>51501</v>
      </c>
    </row>
    <row r="576" spans="1:7" x14ac:dyDescent="0.3">
      <c r="A576" t="s">
        <v>1218</v>
      </c>
      <c r="B576" t="s">
        <v>1219</v>
      </c>
      <c r="C576" t="s">
        <v>1142</v>
      </c>
      <c r="D576" t="s">
        <v>1141</v>
      </c>
      <c r="E576" s="89">
        <v>2.6387999999999998</v>
      </c>
      <c r="F576" s="90">
        <v>45413</v>
      </c>
      <c r="G576" s="90">
        <v>51501</v>
      </c>
    </row>
    <row r="577" spans="1:7" x14ac:dyDescent="0.3">
      <c r="A577" t="s">
        <v>1220</v>
      </c>
      <c r="B577" t="s">
        <v>1219</v>
      </c>
      <c r="C577" t="s">
        <v>1142</v>
      </c>
      <c r="D577" t="s">
        <v>1141</v>
      </c>
      <c r="E577" s="89">
        <v>2.6387999999999998</v>
      </c>
      <c r="F577" s="90">
        <v>45413</v>
      </c>
      <c r="G577" s="90">
        <v>51501</v>
      </c>
    </row>
    <row r="578" spans="1:7" x14ac:dyDescent="0.3">
      <c r="A578" t="s">
        <v>1218</v>
      </c>
      <c r="B578" t="s">
        <v>1219</v>
      </c>
      <c r="C578" t="s">
        <v>906</v>
      </c>
      <c r="D578" t="s">
        <v>907</v>
      </c>
      <c r="E578" s="89">
        <v>2.7488000000000001</v>
      </c>
      <c r="F578" s="90">
        <v>45413</v>
      </c>
      <c r="G578" s="90">
        <v>51501</v>
      </c>
    </row>
    <row r="579" spans="1:7" x14ac:dyDescent="0.3">
      <c r="A579" t="s">
        <v>1220</v>
      </c>
      <c r="B579" t="s">
        <v>1219</v>
      </c>
      <c r="C579" t="s">
        <v>906</v>
      </c>
      <c r="D579" t="s">
        <v>907</v>
      </c>
      <c r="E579" s="89">
        <v>4.07</v>
      </c>
      <c r="F579" s="90">
        <v>45413</v>
      </c>
      <c r="G579" s="90">
        <v>51501</v>
      </c>
    </row>
    <row r="580" spans="1:7" x14ac:dyDescent="0.3">
      <c r="A580" t="s">
        <v>1218</v>
      </c>
      <c r="B580" t="s">
        <v>1219</v>
      </c>
      <c r="C580" t="s">
        <v>1143</v>
      </c>
      <c r="D580" t="s">
        <v>907</v>
      </c>
      <c r="E580" s="89">
        <v>2.7488000000000001</v>
      </c>
      <c r="F580" s="90">
        <v>45413</v>
      </c>
      <c r="G580" s="90">
        <v>51501</v>
      </c>
    </row>
    <row r="581" spans="1:7" x14ac:dyDescent="0.3">
      <c r="A581" t="s">
        <v>1220</v>
      </c>
      <c r="B581" t="s">
        <v>1219</v>
      </c>
      <c r="C581" t="s">
        <v>1143</v>
      </c>
      <c r="D581" t="s">
        <v>907</v>
      </c>
      <c r="E581" s="89">
        <v>2.7488000000000001</v>
      </c>
      <c r="F581" s="90">
        <v>45413</v>
      </c>
      <c r="G581" s="90">
        <v>51501</v>
      </c>
    </row>
    <row r="582" spans="1:7" x14ac:dyDescent="0.3">
      <c r="A582" t="s">
        <v>1218</v>
      </c>
      <c r="B582" t="s">
        <v>1219</v>
      </c>
      <c r="C582" t="s">
        <v>531</v>
      </c>
      <c r="D582" t="s">
        <v>532</v>
      </c>
      <c r="E582" s="89">
        <v>0.76149999999999995</v>
      </c>
      <c r="F582" s="90">
        <v>45413</v>
      </c>
      <c r="G582" s="90">
        <v>51501</v>
      </c>
    </row>
    <row r="583" spans="1:7" x14ac:dyDescent="0.3">
      <c r="A583" t="s">
        <v>1220</v>
      </c>
      <c r="B583" t="s">
        <v>1219</v>
      </c>
      <c r="C583" t="s">
        <v>531</v>
      </c>
      <c r="D583" t="s">
        <v>532</v>
      </c>
      <c r="E583" s="89">
        <v>1.1332</v>
      </c>
      <c r="F583" s="90">
        <v>45413</v>
      </c>
      <c r="G583" s="90">
        <v>51501</v>
      </c>
    </row>
    <row r="584" spans="1:7" x14ac:dyDescent="0.3">
      <c r="A584" t="s">
        <v>1218</v>
      </c>
      <c r="B584" t="s">
        <v>1219</v>
      </c>
      <c r="C584" t="s">
        <v>1144</v>
      </c>
      <c r="D584" t="s">
        <v>532</v>
      </c>
      <c r="E584" s="89">
        <v>0.76149999999999995</v>
      </c>
      <c r="F584" s="90">
        <v>45413</v>
      </c>
      <c r="G584" s="90">
        <v>51501</v>
      </c>
    </row>
    <row r="585" spans="1:7" x14ac:dyDescent="0.3">
      <c r="A585" t="s">
        <v>1220</v>
      </c>
      <c r="B585" t="s">
        <v>1219</v>
      </c>
      <c r="C585" t="s">
        <v>1144</v>
      </c>
      <c r="D585" t="s">
        <v>532</v>
      </c>
      <c r="E585" s="89">
        <v>0.76149999999999995</v>
      </c>
      <c r="F585" s="90">
        <v>45413</v>
      </c>
      <c r="G585" s="90">
        <v>51501</v>
      </c>
    </row>
    <row r="586" spans="1:7" x14ac:dyDescent="0.3">
      <c r="A586" t="s">
        <v>1218</v>
      </c>
      <c r="B586" t="s">
        <v>1219</v>
      </c>
      <c r="C586" t="s">
        <v>539</v>
      </c>
      <c r="D586" t="s">
        <v>540</v>
      </c>
      <c r="E586" s="89">
        <v>6.6459999999999999</v>
      </c>
      <c r="F586" s="90">
        <v>45413</v>
      </c>
      <c r="G586" s="90">
        <v>51501</v>
      </c>
    </row>
    <row r="587" spans="1:7" x14ac:dyDescent="0.3">
      <c r="A587" t="s">
        <v>1220</v>
      </c>
      <c r="B587" t="s">
        <v>1219</v>
      </c>
      <c r="C587" t="s">
        <v>539</v>
      </c>
      <c r="D587" t="s">
        <v>540</v>
      </c>
      <c r="E587" s="89">
        <v>9.8279999999999994</v>
      </c>
      <c r="F587" s="90">
        <v>45413</v>
      </c>
      <c r="G587" s="90">
        <v>51501</v>
      </c>
    </row>
    <row r="588" spans="1:7" x14ac:dyDescent="0.3">
      <c r="A588" t="s">
        <v>1218</v>
      </c>
      <c r="B588" t="s">
        <v>1219</v>
      </c>
      <c r="C588" t="s">
        <v>1145</v>
      </c>
      <c r="D588" t="s">
        <v>540</v>
      </c>
      <c r="E588" s="89">
        <v>6.6459999999999999</v>
      </c>
      <c r="F588" s="90">
        <v>45413</v>
      </c>
      <c r="G588" s="90">
        <v>51501</v>
      </c>
    </row>
    <row r="589" spans="1:7" x14ac:dyDescent="0.3">
      <c r="A589" t="s">
        <v>1220</v>
      </c>
      <c r="B589" t="s">
        <v>1219</v>
      </c>
      <c r="C589" t="s">
        <v>1145</v>
      </c>
      <c r="D589" t="s">
        <v>540</v>
      </c>
      <c r="E589" s="89">
        <v>6.6459999999999999</v>
      </c>
      <c r="F589" s="90">
        <v>45413</v>
      </c>
      <c r="G589" s="90">
        <v>51501</v>
      </c>
    </row>
    <row r="590" spans="1:7" x14ac:dyDescent="0.3">
      <c r="A590" t="s">
        <v>1218</v>
      </c>
      <c r="B590" t="s">
        <v>1219</v>
      </c>
      <c r="C590" t="s">
        <v>547</v>
      </c>
      <c r="D590" t="s">
        <v>548</v>
      </c>
      <c r="E590" s="89">
        <v>0.86499999999999999</v>
      </c>
      <c r="F590" s="90">
        <v>45413</v>
      </c>
      <c r="G590" s="90">
        <v>51501</v>
      </c>
    </row>
    <row r="591" spans="1:7" x14ac:dyDescent="0.3">
      <c r="A591" t="s">
        <v>1220</v>
      </c>
      <c r="B591" t="s">
        <v>1219</v>
      </c>
      <c r="C591" t="s">
        <v>547</v>
      </c>
      <c r="D591" t="s">
        <v>548</v>
      </c>
      <c r="E591" s="89">
        <v>1.2873000000000001</v>
      </c>
      <c r="F591" s="90">
        <v>45413</v>
      </c>
      <c r="G591" s="90">
        <v>51501</v>
      </c>
    </row>
    <row r="592" spans="1:7" x14ac:dyDescent="0.3">
      <c r="A592" t="s">
        <v>1218</v>
      </c>
      <c r="B592" t="s">
        <v>1219</v>
      </c>
      <c r="C592" t="s">
        <v>1146</v>
      </c>
      <c r="D592" t="s">
        <v>548</v>
      </c>
      <c r="E592" s="89">
        <v>0.86499999999999999</v>
      </c>
      <c r="F592" s="90">
        <v>45413</v>
      </c>
      <c r="G592" s="90">
        <v>51501</v>
      </c>
    </row>
    <row r="593" spans="1:7" x14ac:dyDescent="0.3">
      <c r="A593" t="s">
        <v>1220</v>
      </c>
      <c r="B593" t="s">
        <v>1219</v>
      </c>
      <c r="C593" t="s">
        <v>1146</v>
      </c>
      <c r="D593" t="s">
        <v>548</v>
      </c>
      <c r="E593" s="89">
        <v>0.86499999999999999</v>
      </c>
      <c r="F593" s="90">
        <v>45413</v>
      </c>
      <c r="G593" s="90">
        <v>51501</v>
      </c>
    </row>
    <row r="594" spans="1:7" x14ac:dyDescent="0.3">
      <c r="A594" t="s">
        <v>1218</v>
      </c>
      <c r="B594" t="s">
        <v>1219</v>
      </c>
      <c r="C594" t="s">
        <v>912</v>
      </c>
      <c r="D594" t="s">
        <v>913</v>
      </c>
      <c r="E594" s="89">
        <v>3.2505000000000002</v>
      </c>
      <c r="F594" s="90">
        <v>45413</v>
      </c>
      <c r="G594" s="90">
        <v>51501</v>
      </c>
    </row>
    <row r="595" spans="1:7" x14ac:dyDescent="0.3">
      <c r="A595" t="s">
        <v>1220</v>
      </c>
      <c r="B595" t="s">
        <v>1219</v>
      </c>
      <c r="C595" t="s">
        <v>912</v>
      </c>
      <c r="D595" t="s">
        <v>913</v>
      </c>
      <c r="E595" s="89">
        <v>4.8128000000000002</v>
      </c>
      <c r="F595" s="90">
        <v>45413</v>
      </c>
      <c r="G595" s="90">
        <v>51501</v>
      </c>
    </row>
    <row r="596" spans="1:7" x14ac:dyDescent="0.3">
      <c r="A596" t="s">
        <v>1218</v>
      </c>
      <c r="B596" t="s">
        <v>1219</v>
      </c>
      <c r="C596" t="s">
        <v>1147</v>
      </c>
      <c r="D596" t="s">
        <v>913</v>
      </c>
      <c r="E596" s="89">
        <v>3.2505000000000002</v>
      </c>
      <c r="F596" s="90">
        <v>45413</v>
      </c>
      <c r="G596" s="90">
        <v>51501</v>
      </c>
    </row>
    <row r="597" spans="1:7" x14ac:dyDescent="0.3">
      <c r="A597" t="s">
        <v>1220</v>
      </c>
      <c r="B597" t="s">
        <v>1219</v>
      </c>
      <c r="C597" t="s">
        <v>1147</v>
      </c>
      <c r="D597" t="s">
        <v>913</v>
      </c>
      <c r="E597" s="89">
        <v>3.2505000000000002</v>
      </c>
      <c r="F597" s="90">
        <v>45413</v>
      </c>
      <c r="G597" s="90">
        <v>51501</v>
      </c>
    </row>
    <row r="598" spans="1:7" x14ac:dyDescent="0.3">
      <c r="A598" t="s">
        <v>1218</v>
      </c>
      <c r="B598" t="s">
        <v>1219</v>
      </c>
      <c r="C598" t="s">
        <v>555</v>
      </c>
      <c r="D598" t="s">
        <v>556</v>
      </c>
      <c r="E598" s="89">
        <v>0.9899</v>
      </c>
      <c r="F598" s="90">
        <v>45413</v>
      </c>
      <c r="G598" s="90">
        <v>51501</v>
      </c>
    </row>
    <row r="599" spans="1:7" x14ac:dyDescent="0.3">
      <c r="A599" t="s">
        <v>1220</v>
      </c>
      <c r="B599" t="s">
        <v>1219</v>
      </c>
      <c r="C599" t="s">
        <v>555</v>
      </c>
      <c r="D599" t="s">
        <v>556</v>
      </c>
      <c r="E599" s="89">
        <v>1.4731000000000001</v>
      </c>
      <c r="F599" s="90">
        <v>45413</v>
      </c>
      <c r="G599" s="90">
        <v>51501</v>
      </c>
    </row>
    <row r="600" spans="1:7" x14ac:dyDescent="0.3">
      <c r="A600" t="s">
        <v>1218</v>
      </c>
      <c r="B600" t="s">
        <v>1219</v>
      </c>
      <c r="C600" t="s">
        <v>1148</v>
      </c>
      <c r="D600" t="s">
        <v>556</v>
      </c>
      <c r="E600" s="89">
        <v>0.9899</v>
      </c>
      <c r="F600" s="90">
        <v>45413</v>
      </c>
      <c r="G600" s="90">
        <v>51501</v>
      </c>
    </row>
    <row r="601" spans="1:7" x14ac:dyDescent="0.3">
      <c r="A601" t="s">
        <v>1220</v>
      </c>
      <c r="B601" t="s">
        <v>1219</v>
      </c>
      <c r="C601" t="s">
        <v>1148</v>
      </c>
      <c r="D601" t="s">
        <v>556</v>
      </c>
      <c r="E601" s="89">
        <v>0.9899</v>
      </c>
      <c r="F601" s="90">
        <v>45413</v>
      </c>
      <c r="G601" s="90">
        <v>51501</v>
      </c>
    </row>
    <row r="602" spans="1:7" x14ac:dyDescent="0.3">
      <c r="A602" t="s">
        <v>1218</v>
      </c>
      <c r="B602" t="s">
        <v>1219</v>
      </c>
      <c r="C602" t="s">
        <v>412</v>
      </c>
      <c r="D602" t="s">
        <v>413</v>
      </c>
      <c r="E602" s="89">
        <v>1.2335</v>
      </c>
      <c r="F602" s="90">
        <v>45413</v>
      </c>
      <c r="G602" s="90">
        <v>51501</v>
      </c>
    </row>
    <row r="603" spans="1:7" x14ac:dyDescent="0.3">
      <c r="A603" t="s">
        <v>1220</v>
      </c>
      <c r="B603" t="s">
        <v>1219</v>
      </c>
      <c r="C603" t="s">
        <v>412</v>
      </c>
      <c r="D603" t="s">
        <v>413</v>
      </c>
      <c r="E603" s="89">
        <v>1.8357000000000001</v>
      </c>
      <c r="F603" s="90">
        <v>45413</v>
      </c>
      <c r="G603" s="90">
        <v>51501</v>
      </c>
    </row>
    <row r="604" spans="1:7" x14ac:dyDescent="0.3">
      <c r="A604" t="s">
        <v>1218</v>
      </c>
      <c r="B604" t="s">
        <v>1219</v>
      </c>
      <c r="C604" t="s">
        <v>1149</v>
      </c>
      <c r="D604" t="s">
        <v>413</v>
      </c>
      <c r="E604" s="89">
        <v>1.2335</v>
      </c>
      <c r="F604" s="90">
        <v>45413</v>
      </c>
      <c r="G604" s="90">
        <v>51501</v>
      </c>
    </row>
    <row r="605" spans="1:7" x14ac:dyDescent="0.3">
      <c r="A605" t="s">
        <v>1220</v>
      </c>
      <c r="B605" t="s">
        <v>1219</v>
      </c>
      <c r="C605" t="s">
        <v>1149</v>
      </c>
      <c r="D605" t="s">
        <v>413</v>
      </c>
      <c r="E605" s="89">
        <v>1.2335</v>
      </c>
      <c r="F605" s="90">
        <v>45413</v>
      </c>
      <c r="G605" s="90">
        <v>51501</v>
      </c>
    </row>
    <row r="606" spans="1:7" x14ac:dyDescent="0.3">
      <c r="A606" t="s">
        <v>1218</v>
      </c>
      <c r="B606" t="s">
        <v>1219</v>
      </c>
      <c r="C606" t="s">
        <v>482</v>
      </c>
      <c r="D606" t="s">
        <v>483</v>
      </c>
      <c r="E606" s="89">
        <v>2.7212999999999998</v>
      </c>
      <c r="F606" s="90">
        <v>45413</v>
      </c>
      <c r="G606" s="90">
        <v>51501</v>
      </c>
    </row>
    <row r="607" spans="1:7" x14ac:dyDescent="0.3">
      <c r="A607" t="s">
        <v>1220</v>
      </c>
      <c r="B607" t="s">
        <v>1219</v>
      </c>
      <c r="C607" t="s">
        <v>482</v>
      </c>
      <c r="D607" t="s">
        <v>483</v>
      </c>
      <c r="E607" s="89">
        <v>4.0293000000000001</v>
      </c>
      <c r="F607" s="90">
        <v>45413</v>
      </c>
      <c r="G607" s="90">
        <v>51501</v>
      </c>
    </row>
    <row r="608" spans="1:7" x14ac:dyDescent="0.3">
      <c r="A608" t="s">
        <v>1218</v>
      </c>
      <c r="B608" t="s">
        <v>1219</v>
      </c>
      <c r="C608" t="s">
        <v>1150</v>
      </c>
      <c r="D608" t="s">
        <v>483</v>
      </c>
      <c r="E608" s="89">
        <v>2.7212999999999998</v>
      </c>
      <c r="F608" s="90">
        <v>45413</v>
      </c>
      <c r="G608" s="90">
        <v>51501</v>
      </c>
    </row>
    <row r="609" spans="1:7" x14ac:dyDescent="0.3">
      <c r="A609" t="s">
        <v>1220</v>
      </c>
      <c r="B609" t="s">
        <v>1219</v>
      </c>
      <c r="C609" t="s">
        <v>1150</v>
      </c>
      <c r="D609" t="s">
        <v>483</v>
      </c>
      <c r="E609" s="89">
        <v>2.7212999999999998</v>
      </c>
      <c r="F609" s="90">
        <v>45413</v>
      </c>
      <c r="G609" s="90">
        <v>51501</v>
      </c>
    </row>
    <row r="610" spans="1:7" x14ac:dyDescent="0.3">
      <c r="A610" t="s">
        <v>1218</v>
      </c>
      <c r="B610" t="s">
        <v>1219</v>
      </c>
      <c r="C610" t="s">
        <v>492</v>
      </c>
      <c r="D610" t="s">
        <v>493</v>
      </c>
      <c r="E610" s="89">
        <v>2.8119999999999998</v>
      </c>
      <c r="F610" s="90">
        <v>45413</v>
      </c>
      <c r="G610" s="90">
        <v>51501</v>
      </c>
    </row>
    <row r="611" spans="1:7" x14ac:dyDescent="0.3">
      <c r="A611" t="s">
        <v>1220</v>
      </c>
      <c r="B611" t="s">
        <v>1219</v>
      </c>
      <c r="C611" t="s">
        <v>492</v>
      </c>
      <c r="D611" t="s">
        <v>493</v>
      </c>
      <c r="E611" s="89">
        <v>4.1635999999999997</v>
      </c>
      <c r="F611" s="90">
        <v>45413</v>
      </c>
      <c r="G611" s="90">
        <v>51501</v>
      </c>
    </row>
    <row r="612" spans="1:7" x14ac:dyDescent="0.3">
      <c r="A612" t="s">
        <v>1218</v>
      </c>
      <c r="B612" t="s">
        <v>1219</v>
      </c>
      <c r="C612" t="s">
        <v>1151</v>
      </c>
      <c r="D612" t="s">
        <v>493</v>
      </c>
      <c r="E612" s="89">
        <v>2.8119999999999998</v>
      </c>
      <c r="F612" s="90">
        <v>45413</v>
      </c>
      <c r="G612" s="90">
        <v>51501</v>
      </c>
    </row>
    <row r="613" spans="1:7" x14ac:dyDescent="0.3">
      <c r="A613" t="s">
        <v>1220</v>
      </c>
      <c r="B613" t="s">
        <v>1219</v>
      </c>
      <c r="C613" t="s">
        <v>1151</v>
      </c>
      <c r="D613" t="s">
        <v>493</v>
      </c>
      <c r="E613" s="89">
        <v>2.8119999999999998</v>
      </c>
      <c r="F613" s="90">
        <v>45413</v>
      </c>
      <c r="G613" s="90">
        <v>51501</v>
      </c>
    </row>
    <row r="614" spans="1:7" x14ac:dyDescent="0.3">
      <c r="A614" t="s">
        <v>1218</v>
      </c>
      <c r="B614" t="s">
        <v>1219</v>
      </c>
      <c r="C614" t="s">
        <v>502</v>
      </c>
      <c r="D614" t="s">
        <v>503</v>
      </c>
      <c r="E614" s="89">
        <v>2.9192</v>
      </c>
      <c r="F614" s="90">
        <v>45413</v>
      </c>
      <c r="G614" s="90">
        <v>51501</v>
      </c>
    </row>
    <row r="615" spans="1:7" x14ac:dyDescent="0.3">
      <c r="A615" t="s">
        <v>1220</v>
      </c>
      <c r="B615" t="s">
        <v>1219</v>
      </c>
      <c r="C615" t="s">
        <v>502</v>
      </c>
      <c r="D615" t="s">
        <v>503</v>
      </c>
      <c r="E615" s="89">
        <v>4.3223000000000003</v>
      </c>
      <c r="F615" s="90">
        <v>45413</v>
      </c>
      <c r="G615" s="90">
        <v>51501</v>
      </c>
    </row>
    <row r="616" spans="1:7" x14ac:dyDescent="0.3">
      <c r="A616" t="s">
        <v>1218</v>
      </c>
      <c r="B616" t="s">
        <v>1219</v>
      </c>
      <c r="C616" t="s">
        <v>1152</v>
      </c>
      <c r="D616" t="s">
        <v>503</v>
      </c>
      <c r="E616" s="89">
        <v>2.9192</v>
      </c>
      <c r="F616" s="90">
        <v>45413</v>
      </c>
      <c r="G616" s="90">
        <v>51501</v>
      </c>
    </row>
    <row r="617" spans="1:7" x14ac:dyDescent="0.3">
      <c r="A617" t="s">
        <v>1220</v>
      </c>
      <c r="B617" t="s">
        <v>1219</v>
      </c>
      <c r="C617" t="s">
        <v>1152</v>
      </c>
      <c r="D617" t="s">
        <v>503</v>
      </c>
      <c r="E617" s="89">
        <v>2.9192</v>
      </c>
      <c r="F617" s="90">
        <v>45413</v>
      </c>
      <c r="G617" s="90">
        <v>51501</v>
      </c>
    </row>
    <row r="618" spans="1:7" x14ac:dyDescent="0.3">
      <c r="A618" t="s">
        <v>1218</v>
      </c>
      <c r="B618" t="s">
        <v>1219</v>
      </c>
      <c r="C618" t="s">
        <v>513</v>
      </c>
      <c r="D618" t="s">
        <v>514</v>
      </c>
      <c r="E618" s="89">
        <v>2.9275000000000002</v>
      </c>
      <c r="F618" s="90">
        <v>45413</v>
      </c>
      <c r="G618" s="90">
        <v>51501</v>
      </c>
    </row>
    <row r="619" spans="1:7" x14ac:dyDescent="0.3">
      <c r="A619" t="s">
        <v>1220</v>
      </c>
      <c r="B619" t="s">
        <v>1219</v>
      </c>
      <c r="C619" t="s">
        <v>513</v>
      </c>
      <c r="D619" t="s">
        <v>514</v>
      </c>
      <c r="E619" s="89">
        <v>4.3346</v>
      </c>
      <c r="F619" s="90">
        <v>45413</v>
      </c>
      <c r="G619" s="90">
        <v>51501</v>
      </c>
    </row>
    <row r="620" spans="1:7" x14ac:dyDescent="0.3">
      <c r="A620" t="s">
        <v>1218</v>
      </c>
      <c r="B620" t="s">
        <v>1219</v>
      </c>
      <c r="C620" t="s">
        <v>1153</v>
      </c>
      <c r="D620" t="s">
        <v>514</v>
      </c>
      <c r="E620" s="89">
        <v>2.9275000000000002</v>
      </c>
      <c r="F620" s="90">
        <v>45413</v>
      </c>
      <c r="G620" s="90">
        <v>51501</v>
      </c>
    </row>
    <row r="621" spans="1:7" x14ac:dyDescent="0.3">
      <c r="A621" t="s">
        <v>1220</v>
      </c>
      <c r="B621" t="s">
        <v>1219</v>
      </c>
      <c r="C621" t="s">
        <v>1153</v>
      </c>
      <c r="D621" t="s">
        <v>514</v>
      </c>
      <c r="E621" s="89">
        <v>2.9275000000000002</v>
      </c>
      <c r="F621" s="90">
        <v>45413</v>
      </c>
      <c r="G621" s="90">
        <v>51501</v>
      </c>
    </row>
    <row r="622" spans="1:7" x14ac:dyDescent="0.3">
      <c r="A622" t="s">
        <v>1218</v>
      </c>
      <c r="B622" t="s">
        <v>1219</v>
      </c>
      <c r="C622" t="s">
        <v>914</v>
      </c>
      <c r="D622" t="s">
        <v>915</v>
      </c>
      <c r="E622" s="89">
        <v>4.3864000000000001</v>
      </c>
      <c r="F622" s="90">
        <v>45413</v>
      </c>
      <c r="G622" s="90">
        <v>51501</v>
      </c>
    </row>
    <row r="623" spans="1:7" x14ac:dyDescent="0.3">
      <c r="A623" t="s">
        <v>1220</v>
      </c>
      <c r="B623" t="s">
        <v>1219</v>
      </c>
      <c r="C623" t="s">
        <v>914</v>
      </c>
      <c r="D623" t="s">
        <v>915</v>
      </c>
      <c r="E623" s="89">
        <v>6.4865000000000004</v>
      </c>
      <c r="F623" s="90">
        <v>45413</v>
      </c>
      <c r="G623" s="90">
        <v>51501</v>
      </c>
    </row>
    <row r="624" spans="1:7" x14ac:dyDescent="0.3">
      <c r="A624" t="s">
        <v>1218</v>
      </c>
      <c r="B624" t="s">
        <v>1219</v>
      </c>
      <c r="C624" t="s">
        <v>1154</v>
      </c>
      <c r="D624" t="s">
        <v>915</v>
      </c>
      <c r="E624" s="89">
        <v>4.3864000000000001</v>
      </c>
      <c r="F624" s="90">
        <v>45413</v>
      </c>
      <c r="G624" s="90">
        <v>51501</v>
      </c>
    </row>
    <row r="625" spans="1:7" x14ac:dyDescent="0.3">
      <c r="A625" t="s">
        <v>1220</v>
      </c>
      <c r="B625" t="s">
        <v>1219</v>
      </c>
      <c r="C625" t="s">
        <v>1154</v>
      </c>
      <c r="D625" t="s">
        <v>915</v>
      </c>
      <c r="E625" s="89">
        <v>4.3864000000000001</v>
      </c>
      <c r="F625" s="90">
        <v>45413</v>
      </c>
      <c r="G625" s="90">
        <v>51501</v>
      </c>
    </row>
    <row r="626" spans="1:7" x14ac:dyDescent="0.3">
      <c r="A626" t="s">
        <v>1218</v>
      </c>
      <c r="B626" t="s">
        <v>1219</v>
      </c>
      <c r="C626" t="s">
        <v>521</v>
      </c>
      <c r="D626" t="s">
        <v>522</v>
      </c>
      <c r="E626" s="89">
        <v>3.9005000000000001</v>
      </c>
      <c r="F626" s="90">
        <v>45413</v>
      </c>
      <c r="G626" s="90">
        <v>51501</v>
      </c>
    </row>
    <row r="627" spans="1:7" x14ac:dyDescent="0.3">
      <c r="A627" t="s">
        <v>1220</v>
      </c>
      <c r="B627" t="s">
        <v>1219</v>
      </c>
      <c r="C627" t="s">
        <v>521</v>
      </c>
      <c r="D627" t="s">
        <v>522</v>
      </c>
      <c r="E627" s="89">
        <v>5.7752999999999997</v>
      </c>
      <c r="F627" s="90">
        <v>45413</v>
      </c>
      <c r="G627" s="90">
        <v>51501</v>
      </c>
    </row>
    <row r="628" spans="1:7" x14ac:dyDescent="0.3">
      <c r="A628" t="s">
        <v>1218</v>
      </c>
      <c r="B628" t="s">
        <v>1219</v>
      </c>
      <c r="C628" t="s">
        <v>1155</v>
      </c>
      <c r="D628" t="s">
        <v>522</v>
      </c>
      <c r="E628" s="89">
        <v>3.9005000000000001</v>
      </c>
      <c r="F628" s="90">
        <v>45413</v>
      </c>
      <c r="G628" s="90">
        <v>51501</v>
      </c>
    </row>
    <row r="629" spans="1:7" x14ac:dyDescent="0.3">
      <c r="A629" t="s">
        <v>1220</v>
      </c>
      <c r="B629" t="s">
        <v>1219</v>
      </c>
      <c r="C629" t="s">
        <v>1155</v>
      </c>
      <c r="D629" t="s">
        <v>522</v>
      </c>
      <c r="E629" s="89">
        <v>3.9005000000000001</v>
      </c>
      <c r="F629" s="90">
        <v>45413</v>
      </c>
      <c r="G629" s="90">
        <v>51501</v>
      </c>
    </row>
    <row r="630" spans="1:7" x14ac:dyDescent="0.3">
      <c r="A630" t="s">
        <v>1218</v>
      </c>
      <c r="B630" t="s">
        <v>1219</v>
      </c>
      <c r="C630" t="s">
        <v>1156</v>
      </c>
      <c r="D630" t="s">
        <v>1157</v>
      </c>
      <c r="E630" s="89">
        <v>4.1231999999999998</v>
      </c>
      <c r="F630" s="90">
        <v>45413</v>
      </c>
      <c r="G630" s="90">
        <v>51501</v>
      </c>
    </row>
    <row r="631" spans="1:7" x14ac:dyDescent="0.3">
      <c r="A631" t="s">
        <v>1220</v>
      </c>
      <c r="B631" t="s">
        <v>1219</v>
      </c>
      <c r="C631" t="s">
        <v>1156</v>
      </c>
      <c r="D631" t="s">
        <v>1157</v>
      </c>
      <c r="E631" s="89">
        <v>6.1050000000000004</v>
      </c>
      <c r="F631" s="90">
        <v>45413</v>
      </c>
      <c r="G631" s="90">
        <v>51501</v>
      </c>
    </row>
    <row r="632" spans="1:7" x14ac:dyDescent="0.3">
      <c r="A632" t="s">
        <v>1218</v>
      </c>
      <c r="B632" t="s">
        <v>1219</v>
      </c>
      <c r="C632" t="s">
        <v>1158</v>
      </c>
      <c r="D632" t="s">
        <v>1157</v>
      </c>
      <c r="E632" s="89">
        <v>4.1231999999999998</v>
      </c>
      <c r="F632" s="90">
        <v>45413</v>
      </c>
      <c r="G632" s="90">
        <v>51501</v>
      </c>
    </row>
    <row r="633" spans="1:7" x14ac:dyDescent="0.3">
      <c r="A633" t="s">
        <v>1220</v>
      </c>
      <c r="B633" t="s">
        <v>1219</v>
      </c>
      <c r="C633" t="s">
        <v>1158</v>
      </c>
      <c r="D633" t="s">
        <v>1157</v>
      </c>
      <c r="E633" s="89">
        <v>4.1231999999999998</v>
      </c>
      <c r="F633" s="90">
        <v>45413</v>
      </c>
      <c r="G633" s="90">
        <v>51501</v>
      </c>
    </row>
    <row r="634" spans="1:7" x14ac:dyDescent="0.3">
      <c r="A634" t="s">
        <v>1218</v>
      </c>
      <c r="B634" t="s">
        <v>1219</v>
      </c>
      <c r="C634" t="s">
        <v>563</v>
      </c>
      <c r="D634" t="s">
        <v>564</v>
      </c>
      <c r="E634" s="89">
        <v>1.0812999999999999</v>
      </c>
      <c r="F634" s="90">
        <v>45413</v>
      </c>
      <c r="G634" s="90">
        <v>51501</v>
      </c>
    </row>
    <row r="635" spans="1:7" x14ac:dyDescent="0.3">
      <c r="A635" t="s">
        <v>1220</v>
      </c>
      <c r="B635" t="s">
        <v>1219</v>
      </c>
      <c r="C635" t="s">
        <v>563</v>
      </c>
      <c r="D635" t="s">
        <v>564</v>
      </c>
      <c r="E635" s="89">
        <v>1.6091</v>
      </c>
      <c r="F635" s="90">
        <v>45413</v>
      </c>
      <c r="G635" s="90">
        <v>51501</v>
      </c>
    </row>
    <row r="636" spans="1:7" x14ac:dyDescent="0.3">
      <c r="A636" t="s">
        <v>1218</v>
      </c>
      <c r="B636" t="s">
        <v>1219</v>
      </c>
      <c r="C636" t="s">
        <v>1159</v>
      </c>
      <c r="D636" t="s">
        <v>564</v>
      </c>
      <c r="E636" s="89">
        <v>1.0812999999999999</v>
      </c>
      <c r="F636" s="90">
        <v>45413</v>
      </c>
      <c r="G636" s="90">
        <v>51501</v>
      </c>
    </row>
    <row r="637" spans="1:7" x14ac:dyDescent="0.3">
      <c r="A637" t="s">
        <v>1220</v>
      </c>
      <c r="B637" t="s">
        <v>1219</v>
      </c>
      <c r="C637" t="s">
        <v>1159</v>
      </c>
      <c r="D637" t="s">
        <v>564</v>
      </c>
      <c r="E637" s="89">
        <v>1.0812999999999999</v>
      </c>
      <c r="F637" s="90">
        <v>45413</v>
      </c>
      <c r="G637" s="90">
        <v>51501</v>
      </c>
    </row>
    <row r="638" spans="1:7" x14ac:dyDescent="0.3">
      <c r="A638" t="s">
        <v>1218</v>
      </c>
      <c r="B638" t="s">
        <v>1219</v>
      </c>
      <c r="C638" t="s">
        <v>571</v>
      </c>
      <c r="D638" t="s">
        <v>572</v>
      </c>
      <c r="E638" s="89">
        <v>1.1269</v>
      </c>
      <c r="F638" s="90">
        <v>45413</v>
      </c>
      <c r="G638" s="90">
        <v>51501</v>
      </c>
    </row>
    <row r="639" spans="1:7" x14ac:dyDescent="0.3">
      <c r="A639" t="s">
        <v>1220</v>
      </c>
      <c r="B639" t="s">
        <v>1219</v>
      </c>
      <c r="C639" t="s">
        <v>571</v>
      </c>
      <c r="D639" t="s">
        <v>572</v>
      </c>
      <c r="E639" s="89">
        <v>1.6771</v>
      </c>
      <c r="F639" s="90">
        <v>45413</v>
      </c>
      <c r="G639" s="90">
        <v>51501</v>
      </c>
    </row>
    <row r="640" spans="1:7" x14ac:dyDescent="0.3">
      <c r="A640" t="s">
        <v>1218</v>
      </c>
      <c r="B640" t="s">
        <v>1219</v>
      </c>
      <c r="C640" t="s">
        <v>1160</v>
      </c>
      <c r="D640" t="s">
        <v>572</v>
      </c>
      <c r="E640" s="89">
        <v>1.1269</v>
      </c>
      <c r="F640" s="90">
        <v>45413</v>
      </c>
      <c r="G640" s="90">
        <v>51501</v>
      </c>
    </row>
    <row r="641" spans="1:7" x14ac:dyDescent="0.3">
      <c r="A641" t="s">
        <v>1220</v>
      </c>
      <c r="B641" t="s">
        <v>1219</v>
      </c>
      <c r="C641" t="s">
        <v>1160</v>
      </c>
      <c r="D641" t="s">
        <v>572</v>
      </c>
      <c r="E641" s="89">
        <v>1.1269</v>
      </c>
      <c r="F641" s="90">
        <v>45413</v>
      </c>
      <c r="G641" s="90">
        <v>51501</v>
      </c>
    </row>
    <row r="642" spans="1:7" x14ac:dyDescent="0.3">
      <c r="A642" t="s">
        <v>1218</v>
      </c>
      <c r="B642" t="s">
        <v>1219</v>
      </c>
      <c r="C642" t="s">
        <v>908</v>
      </c>
      <c r="D642" t="s">
        <v>1161</v>
      </c>
      <c r="E642" s="89">
        <v>2.4409000000000001</v>
      </c>
      <c r="F642" s="90">
        <v>45413</v>
      </c>
      <c r="G642" s="90">
        <v>51501</v>
      </c>
    </row>
    <row r="643" spans="1:7" x14ac:dyDescent="0.3">
      <c r="A643" t="s">
        <v>1220</v>
      </c>
      <c r="B643" t="s">
        <v>1219</v>
      </c>
      <c r="C643" t="s">
        <v>908</v>
      </c>
      <c r="D643" t="s">
        <v>1161</v>
      </c>
      <c r="E643" s="89">
        <v>3.6141999999999999</v>
      </c>
      <c r="F643" s="90">
        <v>45413</v>
      </c>
      <c r="G643" s="90">
        <v>51501</v>
      </c>
    </row>
    <row r="644" spans="1:7" x14ac:dyDescent="0.3">
      <c r="A644" t="s">
        <v>1218</v>
      </c>
      <c r="B644" t="s">
        <v>1219</v>
      </c>
      <c r="C644" t="s">
        <v>1162</v>
      </c>
      <c r="D644" t="s">
        <v>1161</v>
      </c>
      <c r="E644" s="89">
        <v>2.4409000000000001</v>
      </c>
      <c r="F644" s="90">
        <v>45413</v>
      </c>
      <c r="G644" s="90">
        <v>51501</v>
      </c>
    </row>
    <row r="645" spans="1:7" x14ac:dyDescent="0.3">
      <c r="A645" t="s">
        <v>1220</v>
      </c>
      <c r="B645" t="s">
        <v>1219</v>
      </c>
      <c r="C645" t="s">
        <v>1162</v>
      </c>
      <c r="D645" t="s">
        <v>1161</v>
      </c>
      <c r="E645" s="89">
        <v>2.4409000000000001</v>
      </c>
      <c r="F645" s="90">
        <v>45413</v>
      </c>
      <c r="G645" s="90">
        <v>51501</v>
      </c>
    </row>
    <row r="646" spans="1:7" x14ac:dyDescent="0.3">
      <c r="A646" t="s">
        <v>1218</v>
      </c>
      <c r="B646" t="s">
        <v>1219</v>
      </c>
      <c r="C646" t="s">
        <v>1163</v>
      </c>
      <c r="D646" t="s">
        <v>1164</v>
      </c>
      <c r="E646" s="89">
        <v>2.5949</v>
      </c>
      <c r="F646" s="90">
        <v>45413</v>
      </c>
      <c r="G646" s="90">
        <v>51501</v>
      </c>
    </row>
    <row r="647" spans="1:7" x14ac:dyDescent="0.3">
      <c r="A647" t="s">
        <v>1220</v>
      </c>
      <c r="B647" t="s">
        <v>1219</v>
      </c>
      <c r="C647" t="s">
        <v>1163</v>
      </c>
      <c r="D647" t="s">
        <v>1164</v>
      </c>
      <c r="E647" s="89">
        <v>3.8420999999999998</v>
      </c>
      <c r="F647" s="90">
        <v>45413</v>
      </c>
      <c r="G647" s="90">
        <v>51501</v>
      </c>
    </row>
    <row r="648" spans="1:7" x14ac:dyDescent="0.3">
      <c r="A648" t="s">
        <v>1218</v>
      </c>
      <c r="B648" t="s">
        <v>1219</v>
      </c>
      <c r="C648" t="s">
        <v>1165</v>
      </c>
      <c r="D648" t="s">
        <v>1164</v>
      </c>
      <c r="E648" s="89">
        <v>2.5949</v>
      </c>
      <c r="F648" s="90">
        <v>45413</v>
      </c>
      <c r="G648" s="90">
        <v>51501</v>
      </c>
    </row>
    <row r="649" spans="1:7" x14ac:dyDescent="0.3">
      <c r="A649" t="s">
        <v>1220</v>
      </c>
      <c r="B649" t="s">
        <v>1219</v>
      </c>
      <c r="C649" t="s">
        <v>1165</v>
      </c>
      <c r="D649" t="s">
        <v>1164</v>
      </c>
      <c r="E649" s="89">
        <v>2.5949</v>
      </c>
      <c r="F649" s="90">
        <v>45413</v>
      </c>
      <c r="G649" s="90">
        <v>51501</v>
      </c>
    </row>
    <row r="650" spans="1:7" x14ac:dyDescent="0.3">
      <c r="A650" t="s">
        <v>1218</v>
      </c>
      <c r="B650" t="s">
        <v>1219</v>
      </c>
      <c r="C650" t="s">
        <v>1166</v>
      </c>
      <c r="D650" t="s">
        <v>1167</v>
      </c>
      <c r="E650" s="89">
        <v>3.9033000000000002</v>
      </c>
      <c r="F650" s="90">
        <v>45413</v>
      </c>
      <c r="G650" s="90">
        <v>51501</v>
      </c>
    </row>
    <row r="651" spans="1:7" x14ac:dyDescent="0.3">
      <c r="A651" t="s">
        <v>1220</v>
      </c>
      <c r="B651" t="s">
        <v>1219</v>
      </c>
      <c r="C651" t="s">
        <v>1166</v>
      </c>
      <c r="D651" t="s">
        <v>1167</v>
      </c>
      <c r="E651" s="89">
        <v>5.7793999999999999</v>
      </c>
      <c r="F651" s="90">
        <v>45413</v>
      </c>
      <c r="G651" s="90">
        <v>51501</v>
      </c>
    </row>
    <row r="652" spans="1:7" x14ac:dyDescent="0.3">
      <c r="A652" t="s">
        <v>1218</v>
      </c>
      <c r="B652" t="s">
        <v>1219</v>
      </c>
      <c r="C652" t="s">
        <v>1168</v>
      </c>
      <c r="D652" t="s">
        <v>1167</v>
      </c>
      <c r="E652" s="89">
        <v>3.9033000000000002</v>
      </c>
      <c r="F652" s="90">
        <v>45413</v>
      </c>
      <c r="G652" s="90">
        <v>51501</v>
      </c>
    </row>
    <row r="653" spans="1:7" x14ac:dyDescent="0.3">
      <c r="A653" t="s">
        <v>1220</v>
      </c>
      <c r="B653" t="s">
        <v>1219</v>
      </c>
      <c r="C653" t="s">
        <v>1168</v>
      </c>
      <c r="D653" t="s">
        <v>1167</v>
      </c>
      <c r="E653" s="89">
        <v>3.9033000000000002</v>
      </c>
      <c r="F653" s="90">
        <v>45413</v>
      </c>
      <c r="G653" s="90">
        <v>51501</v>
      </c>
    </row>
    <row r="654" spans="1:7" x14ac:dyDescent="0.3">
      <c r="A654" t="s">
        <v>1218</v>
      </c>
      <c r="B654" t="s">
        <v>1219</v>
      </c>
      <c r="C654" t="s">
        <v>537</v>
      </c>
      <c r="D654" t="s">
        <v>538</v>
      </c>
      <c r="E654" s="89">
        <v>4.6787999999999998</v>
      </c>
      <c r="F654" s="90">
        <v>45413</v>
      </c>
      <c r="G654" s="90">
        <v>51501</v>
      </c>
    </row>
    <row r="655" spans="1:7" x14ac:dyDescent="0.3">
      <c r="A655" t="s">
        <v>1220</v>
      </c>
      <c r="B655" t="s">
        <v>1219</v>
      </c>
      <c r="C655" t="s">
        <v>537</v>
      </c>
      <c r="D655" t="s">
        <v>538</v>
      </c>
      <c r="E655" s="89">
        <v>6.9188999999999998</v>
      </c>
      <c r="F655" s="90">
        <v>45413</v>
      </c>
      <c r="G655" s="90">
        <v>51501</v>
      </c>
    </row>
    <row r="656" spans="1:7" x14ac:dyDescent="0.3">
      <c r="A656" t="s">
        <v>1218</v>
      </c>
      <c r="B656" t="s">
        <v>1219</v>
      </c>
      <c r="C656" t="s">
        <v>1169</v>
      </c>
      <c r="D656" t="s">
        <v>538</v>
      </c>
      <c r="E656" s="89">
        <v>4.6787999999999998</v>
      </c>
      <c r="F656" s="90">
        <v>45413</v>
      </c>
      <c r="G656" s="90">
        <v>51501</v>
      </c>
    </row>
    <row r="657" spans="1:7" x14ac:dyDescent="0.3">
      <c r="A657" t="s">
        <v>1220</v>
      </c>
      <c r="B657" t="s">
        <v>1219</v>
      </c>
      <c r="C657" t="s">
        <v>1169</v>
      </c>
      <c r="D657" t="s">
        <v>538</v>
      </c>
      <c r="E657" s="89">
        <v>4.6787999999999998</v>
      </c>
      <c r="F657" s="90">
        <v>45413</v>
      </c>
      <c r="G657" s="90">
        <v>51501</v>
      </c>
    </row>
    <row r="658" spans="1:7" x14ac:dyDescent="0.3">
      <c r="A658" t="s">
        <v>1218</v>
      </c>
      <c r="B658" t="s">
        <v>1219</v>
      </c>
      <c r="C658" t="s">
        <v>916</v>
      </c>
      <c r="D658" t="s">
        <v>917</v>
      </c>
      <c r="E658" s="89">
        <v>5.5560999999999998</v>
      </c>
      <c r="F658" s="90">
        <v>45413</v>
      </c>
      <c r="G658" s="90">
        <v>51501</v>
      </c>
    </row>
    <row r="659" spans="1:7" x14ac:dyDescent="0.3">
      <c r="A659" t="s">
        <v>1220</v>
      </c>
      <c r="B659" t="s">
        <v>1219</v>
      </c>
      <c r="C659" t="s">
        <v>916</v>
      </c>
      <c r="D659" t="s">
        <v>917</v>
      </c>
      <c r="E659" s="89">
        <v>8.2162000000000006</v>
      </c>
      <c r="F659" s="90">
        <v>45413</v>
      </c>
      <c r="G659" s="90">
        <v>51501</v>
      </c>
    </row>
    <row r="660" spans="1:7" x14ac:dyDescent="0.3">
      <c r="A660" t="s">
        <v>1218</v>
      </c>
      <c r="B660" t="s">
        <v>1219</v>
      </c>
      <c r="C660" t="s">
        <v>1170</v>
      </c>
      <c r="D660" t="s">
        <v>917</v>
      </c>
      <c r="E660" s="89">
        <v>5.5560999999999998</v>
      </c>
      <c r="F660" s="90">
        <v>45413</v>
      </c>
      <c r="G660" s="90">
        <v>51501</v>
      </c>
    </row>
    <row r="661" spans="1:7" x14ac:dyDescent="0.3">
      <c r="A661" t="s">
        <v>1220</v>
      </c>
      <c r="B661" t="s">
        <v>1219</v>
      </c>
      <c r="C661" t="s">
        <v>1170</v>
      </c>
      <c r="D661" t="s">
        <v>917</v>
      </c>
      <c r="E661" s="89">
        <v>5.5560999999999998</v>
      </c>
      <c r="F661" s="90">
        <v>45413</v>
      </c>
      <c r="G661" s="90">
        <v>51501</v>
      </c>
    </row>
    <row r="662" spans="1:7" x14ac:dyDescent="0.3">
      <c r="A662" t="s">
        <v>1218</v>
      </c>
      <c r="B662" t="s">
        <v>1219</v>
      </c>
      <c r="C662" t="s">
        <v>545</v>
      </c>
      <c r="D662" t="s">
        <v>546</v>
      </c>
      <c r="E662" s="89">
        <v>5.0297000000000001</v>
      </c>
      <c r="F662" s="90">
        <v>45413</v>
      </c>
      <c r="G662" s="90">
        <v>51501</v>
      </c>
    </row>
    <row r="663" spans="1:7" x14ac:dyDescent="0.3">
      <c r="A663" t="s">
        <v>1220</v>
      </c>
      <c r="B663" t="s">
        <v>1219</v>
      </c>
      <c r="C663" t="s">
        <v>545</v>
      </c>
      <c r="D663" t="s">
        <v>546</v>
      </c>
      <c r="E663" s="89">
        <v>7.4378000000000002</v>
      </c>
      <c r="F663" s="90">
        <v>45413</v>
      </c>
      <c r="G663" s="90">
        <v>51501</v>
      </c>
    </row>
    <row r="664" spans="1:7" x14ac:dyDescent="0.3">
      <c r="A664" t="s">
        <v>1218</v>
      </c>
      <c r="B664" t="s">
        <v>1219</v>
      </c>
      <c r="C664" t="s">
        <v>1171</v>
      </c>
      <c r="D664" t="s">
        <v>546</v>
      </c>
      <c r="E664" s="89">
        <v>5.0297000000000001</v>
      </c>
      <c r="F664" s="90">
        <v>45413</v>
      </c>
      <c r="G664" s="90">
        <v>51501</v>
      </c>
    </row>
    <row r="665" spans="1:7" x14ac:dyDescent="0.3">
      <c r="A665" t="s">
        <v>1220</v>
      </c>
      <c r="B665" t="s">
        <v>1219</v>
      </c>
      <c r="C665" t="s">
        <v>1171</v>
      </c>
      <c r="D665" t="s">
        <v>546</v>
      </c>
      <c r="E665" s="89">
        <v>5.0297000000000001</v>
      </c>
      <c r="F665" s="90">
        <v>45413</v>
      </c>
      <c r="G665" s="90">
        <v>51501</v>
      </c>
    </row>
    <row r="666" spans="1:7" x14ac:dyDescent="0.3">
      <c r="A666" t="s">
        <v>1218</v>
      </c>
      <c r="B666" t="s">
        <v>1219</v>
      </c>
      <c r="C666" t="s">
        <v>569</v>
      </c>
      <c r="D666" t="s">
        <v>570</v>
      </c>
      <c r="E666" s="89">
        <v>5.3167999999999997</v>
      </c>
      <c r="F666" s="90">
        <v>45413</v>
      </c>
      <c r="G666" s="90">
        <v>51501</v>
      </c>
    </row>
    <row r="667" spans="1:7" x14ac:dyDescent="0.3">
      <c r="A667" t="s">
        <v>1220</v>
      </c>
      <c r="B667" t="s">
        <v>1219</v>
      </c>
      <c r="C667" t="s">
        <v>569</v>
      </c>
      <c r="D667" t="s">
        <v>570</v>
      </c>
      <c r="E667" s="89">
        <v>7.8624000000000001</v>
      </c>
      <c r="F667" s="90">
        <v>45413</v>
      </c>
      <c r="G667" s="90">
        <v>51501</v>
      </c>
    </row>
    <row r="668" spans="1:7" x14ac:dyDescent="0.3">
      <c r="A668" t="s">
        <v>1218</v>
      </c>
      <c r="B668" t="s">
        <v>1219</v>
      </c>
      <c r="C668" t="s">
        <v>1172</v>
      </c>
      <c r="D668" t="s">
        <v>570</v>
      </c>
      <c r="E668" s="89">
        <v>5.3167999999999997</v>
      </c>
      <c r="F668" s="90">
        <v>45413</v>
      </c>
      <c r="G668" s="90">
        <v>51501</v>
      </c>
    </row>
    <row r="669" spans="1:7" x14ac:dyDescent="0.3">
      <c r="A669" t="s">
        <v>1220</v>
      </c>
      <c r="B669" t="s">
        <v>1219</v>
      </c>
      <c r="C669" t="s">
        <v>1172</v>
      </c>
      <c r="D669" t="s">
        <v>570</v>
      </c>
      <c r="E669" s="89">
        <v>5.3167999999999997</v>
      </c>
      <c r="F669" s="90">
        <v>45413</v>
      </c>
      <c r="G669" s="90">
        <v>51501</v>
      </c>
    </row>
    <row r="670" spans="1:7" x14ac:dyDescent="0.3">
      <c r="A670" t="s">
        <v>1218</v>
      </c>
      <c r="B670" t="s">
        <v>1219</v>
      </c>
      <c r="C670" t="s">
        <v>1173</v>
      </c>
      <c r="D670" t="s">
        <v>1174</v>
      </c>
      <c r="E670" s="89">
        <v>1.4407000000000001</v>
      </c>
      <c r="F670" s="90">
        <v>45413</v>
      </c>
      <c r="G670" s="90">
        <v>51501</v>
      </c>
    </row>
    <row r="671" spans="1:7" x14ac:dyDescent="0.3">
      <c r="A671" t="s">
        <v>1220</v>
      </c>
      <c r="B671" t="s">
        <v>1219</v>
      </c>
      <c r="C671" t="s">
        <v>1173</v>
      </c>
      <c r="D671" t="s">
        <v>1174</v>
      </c>
      <c r="E671" s="89">
        <v>2.1438999999999999</v>
      </c>
      <c r="F671" s="90">
        <v>45413</v>
      </c>
      <c r="G671" s="90">
        <v>51501</v>
      </c>
    </row>
    <row r="672" spans="1:7" x14ac:dyDescent="0.3">
      <c r="A672" t="s">
        <v>1218</v>
      </c>
      <c r="B672" t="s">
        <v>1219</v>
      </c>
      <c r="C672" t="s">
        <v>1175</v>
      </c>
      <c r="D672" t="s">
        <v>1174</v>
      </c>
      <c r="E672" s="89">
        <v>1.4407000000000001</v>
      </c>
      <c r="F672" s="90">
        <v>45413</v>
      </c>
      <c r="G672" s="90">
        <v>51501</v>
      </c>
    </row>
    <row r="673" spans="1:7" x14ac:dyDescent="0.3">
      <c r="A673" t="s">
        <v>1220</v>
      </c>
      <c r="B673" t="s">
        <v>1219</v>
      </c>
      <c r="C673" t="s">
        <v>1175</v>
      </c>
      <c r="D673" t="s">
        <v>1174</v>
      </c>
      <c r="E673" s="89">
        <v>1.4407000000000001</v>
      </c>
      <c r="F673" s="90">
        <v>45413</v>
      </c>
      <c r="G673" s="90">
        <v>51501</v>
      </c>
    </row>
    <row r="674" spans="1:7" x14ac:dyDescent="0.3">
      <c r="A674" t="s">
        <v>1218</v>
      </c>
      <c r="B674" t="s">
        <v>1219</v>
      </c>
      <c r="C674" t="s">
        <v>589</v>
      </c>
      <c r="D674" t="s">
        <v>590</v>
      </c>
      <c r="E674" s="89">
        <v>5.6584000000000003</v>
      </c>
      <c r="F674" s="90">
        <v>45413</v>
      </c>
      <c r="G674" s="90">
        <v>51501</v>
      </c>
    </row>
    <row r="675" spans="1:7" x14ac:dyDescent="0.3">
      <c r="A675" t="s">
        <v>1220</v>
      </c>
      <c r="B675" t="s">
        <v>1219</v>
      </c>
      <c r="C675" t="s">
        <v>589</v>
      </c>
      <c r="D675" t="s">
        <v>590</v>
      </c>
      <c r="E675" s="89">
        <v>8.3675999999999995</v>
      </c>
      <c r="F675" s="90">
        <v>45413</v>
      </c>
      <c r="G675" s="90">
        <v>51501</v>
      </c>
    </row>
    <row r="676" spans="1:7" x14ac:dyDescent="0.3">
      <c r="A676" t="s">
        <v>1218</v>
      </c>
      <c r="B676" t="s">
        <v>1219</v>
      </c>
      <c r="C676" t="s">
        <v>1176</v>
      </c>
      <c r="D676" t="s">
        <v>590</v>
      </c>
      <c r="E676" s="89">
        <v>5.6584000000000003</v>
      </c>
      <c r="F676" s="90">
        <v>45413</v>
      </c>
      <c r="G676" s="90">
        <v>51501</v>
      </c>
    </row>
    <row r="677" spans="1:7" x14ac:dyDescent="0.3">
      <c r="A677" t="s">
        <v>1220</v>
      </c>
      <c r="B677" t="s">
        <v>1219</v>
      </c>
      <c r="C677" t="s">
        <v>1176</v>
      </c>
      <c r="D677" t="s">
        <v>590</v>
      </c>
      <c r="E677" s="89">
        <v>5.6584000000000003</v>
      </c>
      <c r="F677" s="90">
        <v>45413</v>
      </c>
      <c r="G677" s="90">
        <v>51501</v>
      </c>
    </row>
    <row r="678" spans="1:7" x14ac:dyDescent="0.3">
      <c r="A678" t="s">
        <v>1218</v>
      </c>
      <c r="B678" t="s">
        <v>1219</v>
      </c>
      <c r="C678" t="s">
        <v>879</v>
      </c>
      <c r="D678" t="s">
        <v>880</v>
      </c>
      <c r="E678" s="89">
        <v>13.292</v>
      </c>
      <c r="F678" s="90">
        <v>45413</v>
      </c>
      <c r="G678" s="90">
        <v>51501</v>
      </c>
    </row>
    <row r="679" spans="1:7" x14ac:dyDescent="0.3">
      <c r="A679" t="s">
        <v>1220</v>
      </c>
      <c r="B679" t="s">
        <v>1219</v>
      </c>
      <c r="C679" t="s">
        <v>879</v>
      </c>
      <c r="D679" t="s">
        <v>880</v>
      </c>
      <c r="E679" s="89">
        <v>19.655999999999999</v>
      </c>
      <c r="F679" s="90">
        <v>45413</v>
      </c>
      <c r="G679" s="90">
        <v>51501</v>
      </c>
    </row>
    <row r="680" spans="1:7" x14ac:dyDescent="0.3">
      <c r="A680" t="s">
        <v>1218</v>
      </c>
      <c r="B680" t="s">
        <v>1219</v>
      </c>
      <c r="C680" t="s">
        <v>1177</v>
      </c>
      <c r="D680" t="s">
        <v>880</v>
      </c>
      <c r="E680" s="89">
        <v>13.292</v>
      </c>
      <c r="F680" s="90">
        <v>45413</v>
      </c>
      <c r="G680" s="90">
        <v>51501</v>
      </c>
    </row>
    <row r="681" spans="1:7" x14ac:dyDescent="0.3">
      <c r="A681" t="s">
        <v>1220</v>
      </c>
      <c r="B681" t="s">
        <v>1219</v>
      </c>
      <c r="C681" t="s">
        <v>1177</v>
      </c>
      <c r="D681" t="s">
        <v>880</v>
      </c>
      <c r="E681" s="89">
        <v>13.292</v>
      </c>
      <c r="F681" s="90">
        <v>45413</v>
      </c>
      <c r="G681" s="90">
        <v>51501</v>
      </c>
    </row>
    <row r="682" spans="1:7" x14ac:dyDescent="0.3">
      <c r="A682" t="s">
        <v>1218</v>
      </c>
      <c r="B682" t="s">
        <v>1219</v>
      </c>
      <c r="C682" t="s">
        <v>1178</v>
      </c>
      <c r="D682" t="s">
        <v>1179</v>
      </c>
      <c r="E682" s="89">
        <v>18.320399999999999</v>
      </c>
      <c r="F682" s="90">
        <v>45413</v>
      </c>
      <c r="G682" s="90">
        <v>51501</v>
      </c>
    </row>
    <row r="683" spans="1:7" x14ac:dyDescent="0.3">
      <c r="A683" t="s">
        <v>1220</v>
      </c>
      <c r="B683" t="s">
        <v>1219</v>
      </c>
      <c r="C683" t="s">
        <v>1178</v>
      </c>
      <c r="D683" t="s">
        <v>1179</v>
      </c>
      <c r="E683" s="89">
        <v>27.055800000000001</v>
      </c>
      <c r="F683" s="90">
        <v>45413</v>
      </c>
      <c r="G683" s="90">
        <v>51501</v>
      </c>
    </row>
    <row r="684" spans="1:7" x14ac:dyDescent="0.3">
      <c r="A684" t="s">
        <v>1218</v>
      </c>
      <c r="B684" t="s">
        <v>1219</v>
      </c>
      <c r="C684" t="s">
        <v>1180</v>
      </c>
      <c r="D684" t="s">
        <v>1179</v>
      </c>
      <c r="E684" s="89">
        <v>18.320399999999999</v>
      </c>
      <c r="F684" s="90">
        <v>45413</v>
      </c>
      <c r="G684" s="90">
        <v>51501</v>
      </c>
    </row>
    <row r="685" spans="1:7" x14ac:dyDescent="0.3">
      <c r="A685" t="s">
        <v>1220</v>
      </c>
      <c r="B685" t="s">
        <v>1219</v>
      </c>
      <c r="C685" t="s">
        <v>1180</v>
      </c>
      <c r="D685" t="s">
        <v>1179</v>
      </c>
      <c r="E685" s="89">
        <v>18.320399999999999</v>
      </c>
      <c r="F685" s="90">
        <v>45413</v>
      </c>
      <c r="G685" s="90">
        <v>51501</v>
      </c>
    </row>
    <row r="686" spans="1:7" x14ac:dyDescent="0.3">
      <c r="A686" t="s">
        <v>1218</v>
      </c>
      <c r="B686" t="s">
        <v>1219</v>
      </c>
      <c r="C686" t="s">
        <v>1181</v>
      </c>
      <c r="D686" t="s">
        <v>1182</v>
      </c>
      <c r="E686" s="89">
        <v>18.8293</v>
      </c>
      <c r="F686" s="90">
        <v>45413</v>
      </c>
      <c r="G686" s="90">
        <v>51501</v>
      </c>
    </row>
    <row r="687" spans="1:7" x14ac:dyDescent="0.3">
      <c r="A687" t="s">
        <v>1220</v>
      </c>
      <c r="B687" t="s">
        <v>1219</v>
      </c>
      <c r="C687" t="s">
        <v>1181</v>
      </c>
      <c r="D687" t="s">
        <v>1182</v>
      </c>
      <c r="E687" s="89">
        <v>27.807400000000001</v>
      </c>
      <c r="F687" s="90">
        <v>45413</v>
      </c>
      <c r="G687" s="90">
        <v>51501</v>
      </c>
    </row>
    <row r="688" spans="1:7" x14ac:dyDescent="0.3">
      <c r="A688" t="s">
        <v>1218</v>
      </c>
      <c r="B688" t="s">
        <v>1219</v>
      </c>
      <c r="C688" t="s">
        <v>1183</v>
      </c>
      <c r="D688" t="s">
        <v>1182</v>
      </c>
      <c r="E688" s="89">
        <v>18.8293</v>
      </c>
      <c r="F688" s="90">
        <v>45413</v>
      </c>
      <c r="G688" s="90">
        <v>51501</v>
      </c>
    </row>
    <row r="689" spans="1:7" x14ac:dyDescent="0.3">
      <c r="A689" t="s">
        <v>1220</v>
      </c>
      <c r="B689" t="s">
        <v>1219</v>
      </c>
      <c r="C689" t="s">
        <v>1183</v>
      </c>
      <c r="D689" t="s">
        <v>1182</v>
      </c>
      <c r="E689" s="89">
        <v>18.8293</v>
      </c>
      <c r="F689" s="90">
        <v>45413</v>
      </c>
      <c r="G689" s="90">
        <v>51501</v>
      </c>
    </row>
    <row r="690" spans="1:7" x14ac:dyDescent="0.3">
      <c r="A690" t="s">
        <v>1218</v>
      </c>
      <c r="B690" t="s">
        <v>1219</v>
      </c>
      <c r="C690" t="s">
        <v>1184</v>
      </c>
      <c r="D690" t="s">
        <v>1185</v>
      </c>
      <c r="E690" s="89">
        <v>19.2364</v>
      </c>
      <c r="F690" s="90">
        <v>45413</v>
      </c>
      <c r="G690" s="90">
        <v>51501</v>
      </c>
    </row>
    <row r="691" spans="1:7" x14ac:dyDescent="0.3">
      <c r="A691" t="s">
        <v>1220</v>
      </c>
      <c r="B691" t="s">
        <v>1219</v>
      </c>
      <c r="C691" t="s">
        <v>1184</v>
      </c>
      <c r="D691" t="s">
        <v>1185</v>
      </c>
      <c r="E691" s="89">
        <v>28.4086</v>
      </c>
      <c r="F691" s="90">
        <v>45413</v>
      </c>
      <c r="G691" s="90">
        <v>51501</v>
      </c>
    </row>
    <row r="692" spans="1:7" x14ac:dyDescent="0.3">
      <c r="A692" t="s">
        <v>1218</v>
      </c>
      <c r="B692" t="s">
        <v>1219</v>
      </c>
      <c r="C692" t="s">
        <v>1186</v>
      </c>
      <c r="D692" t="s">
        <v>1185</v>
      </c>
      <c r="E692" s="89">
        <v>19.2364</v>
      </c>
      <c r="F692" s="90">
        <v>45413</v>
      </c>
      <c r="G692" s="90">
        <v>51501</v>
      </c>
    </row>
    <row r="693" spans="1:7" x14ac:dyDescent="0.3">
      <c r="A693" t="s">
        <v>1220</v>
      </c>
      <c r="B693" t="s">
        <v>1219</v>
      </c>
      <c r="C693" t="s">
        <v>1186</v>
      </c>
      <c r="D693" t="s">
        <v>1185</v>
      </c>
      <c r="E693" s="89">
        <v>19.2364</v>
      </c>
      <c r="F693" s="90">
        <v>45413</v>
      </c>
      <c r="G693" s="90">
        <v>51501</v>
      </c>
    </row>
    <row r="694" spans="1:7" x14ac:dyDescent="0.3">
      <c r="A694" t="s">
        <v>1218</v>
      </c>
      <c r="B694" t="s">
        <v>1219</v>
      </c>
      <c r="C694" t="s">
        <v>407</v>
      </c>
      <c r="D694" t="s">
        <v>408</v>
      </c>
      <c r="E694" s="89">
        <v>19.338200000000001</v>
      </c>
      <c r="F694" s="90">
        <v>45413</v>
      </c>
      <c r="G694" s="90">
        <v>51501</v>
      </c>
    </row>
    <row r="695" spans="1:7" x14ac:dyDescent="0.3">
      <c r="A695" t="s">
        <v>1220</v>
      </c>
      <c r="B695" t="s">
        <v>1219</v>
      </c>
      <c r="C695" t="s">
        <v>407</v>
      </c>
      <c r="D695" t="s">
        <v>408</v>
      </c>
      <c r="E695" s="89">
        <v>28.558900000000001</v>
      </c>
      <c r="F695" s="90">
        <v>45413</v>
      </c>
      <c r="G695" s="90">
        <v>51501</v>
      </c>
    </row>
    <row r="696" spans="1:7" x14ac:dyDescent="0.3">
      <c r="A696" t="s">
        <v>1218</v>
      </c>
      <c r="B696" t="s">
        <v>1219</v>
      </c>
      <c r="C696" t="s">
        <v>1187</v>
      </c>
      <c r="D696" t="s">
        <v>408</v>
      </c>
      <c r="E696" s="89">
        <v>19.338200000000001</v>
      </c>
      <c r="F696" s="90">
        <v>45413</v>
      </c>
      <c r="G696" s="90">
        <v>51501</v>
      </c>
    </row>
    <row r="697" spans="1:7" x14ac:dyDescent="0.3">
      <c r="A697" t="s">
        <v>1220</v>
      </c>
      <c r="B697" t="s">
        <v>1219</v>
      </c>
      <c r="C697" t="s">
        <v>1187</v>
      </c>
      <c r="D697" t="s">
        <v>408</v>
      </c>
      <c r="E697" s="89">
        <v>19.338200000000001</v>
      </c>
      <c r="F697" s="90">
        <v>45413</v>
      </c>
      <c r="G697" s="90">
        <v>51501</v>
      </c>
    </row>
    <row r="698" spans="1:7" x14ac:dyDescent="0.3">
      <c r="A698" t="s">
        <v>1218</v>
      </c>
      <c r="B698" t="s">
        <v>1219</v>
      </c>
      <c r="C698" t="s">
        <v>1188</v>
      </c>
      <c r="D698" t="s">
        <v>1189</v>
      </c>
      <c r="E698" s="89">
        <v>19.847100000000001</v>
      </c>
      <c r="F698" s="90">
        <v>45413</v>
      </c>
      <c r="G698" s="90">
        <v>51501</v>
      </c>
    </row>
    <row r="699" spans="1:7" x14ac:dyDescent="0.3">
      <c r="A699" t="s">
        <v>1220</v>
      </c>
      <c r="B699" t="s">
        <v>1219</v>
      </c>
      <c r="C699" t="s">
        <v>1188</v>
      </c>
      <c r="D699" t="s">
        <v>1189</v>
      </c>
      <c r="E699" s="89">
        <v>29.310500000000001</v>
      </c>
      <c r="F699" s="90">
        <v>45413</v>
      </c>
      <c r="G699" s="90">
        <v>51501</v>
      </c>
    </row>
    <row r="700" spans="1:7" x14ac:dyDescent="0.3">
      <c r="A700" t="s">
        <v>1218</v>
      </c>
      <c r="B700" t="s">
        <v>1219</v>
      </c>
      <c r="C700" t="s">
        <v>1190</v>
      </c>
      <c r="D700" t="s">
        <v>1189</v>
      </c>
      <c r="E700" s="89">
        <v>19.847100000000001</v>
      </c>
      <c r="F700" s="90">
        <v>45413</v>
      </c>
      <c r="G700" s="90">
        <v>51501</v>
      </c>
    </row>
    <row r="701" spans="1:7" x14ac:dyDescent="0.3">
      <c r="A701" t="s">
        <v>1220</v>
      </c>
      <c r="B701" t="s">
        <v>1219</v>
      </c>
      <c r="C701" t="s">
        <v>1190</v>
      </c>
      <c r="D701" t="s">
        <v>1189</v>
      </c>
      <c r="E701" s="89">
        <v>19.847100000000001</v>
      </c>
      <c r="F701" s="90">
        <v>45413</v>
      </c>
      <c r="G701" s="90">
        <v>51501</v>
      </c>
    </row>
    <row r="702" spans="1:7" x14ac:dyDescent="0.3">
      <c r="A702" t="s">
        <v>1218</v>
      </c>
      <c r="B702" t="s">
        <v>1219</v>
      </c>
      <c r="C702" t="s">
        <v>418</v>
      </c>
      <c r="D702" t="s">
        <v>419</v>
      </c>
      <c r="E702" s="89">
        <v>19.948899999999998</v>
      </c>
      <c r="F702" s="90">
        <v>45413</v>
      </c>
      <c r="G702" s="90">
        <v>51501</v>
      </c>
    </row>
    <row r="703" spans="1:7" x14ac:dyDescent="0.3">
      <c r="A703" t="s">
        <v>1220</v>
      </c>
      <c r="B703" t="s">
        <v>1219</v>
      </c>
      <c r="C703" t="s">
        <v>418</v>
      </c>
      <c r="D703" t="s">
        <v>419</v>
      </c>
      <c r="E703" s="89">
        <v>29.460799999999999</v>
      </c>
      <c r="F703" s="90">
        <v>45413</v>
      </c>
      <c r="G703" s="90">
        <v>51501</v>
      </c>
    </row>
    <row r="704" spans="1:7" x14ac:dyDescent="0.3">
      <c r="A704" t="s">
        <v>1218</v>
      </c>
      <c r="B704" t="s">
        <v>1219</v>
      </c>
      <c r="C704" t="s">
        <v>1191</v>
      </c>
      <c r="D704" t="s">
        <v>419</v>
      </c>
      <c r="E704" s="89">
        <v>19.948899999999998</v>
      </c>
      <c r="F704" s="90">
        <v>45413</v>
      </c>
      <c r="G704" s="90">
        <v>51501</v>
      </c>
    </row>
    <row r="705" spans="1:7" x14ac:dyDescent="0.3">
      <c r="A705" t="s">
        <v>1220</v>
      </c>
      <c r="B705" t="s">
        <v>1219</v>
      </c>
      <c r="C705" t="s">
        <v>1191</v>
      </c>
      <c r="D705" t="s">
        <v>419</v>
      </c>
      <c r="E705" s="89">
        <v>19.948899999999998</v>
      </c>
      <c r="F705" s="90">
        <v>45413</v>
      </c>
      <c r="G705" s="90">
        <v>51501</v>
      </c>
    </row>
    <row r="706" spans="1:7" x14ac:dyDescent="0.3">
      <c r="A706" t="s">
        <v>1218</v>
      </c>
      <c r="B706" t="s">
        <v>1219</v>
      </c>
      <c r="C706" t="s">
        <v>1192</v>
      </c>
      <c r="D706" t="s">
        <v>1193</v>
      </c>
      <c r="E706" s="89">
        <v>40.712000000000003</v>
      </c>
      <c r="F706" s="90">
        <v>45413</v>
      </c>
      <c r="G706" s="90">
        <v>51501</v>
      </c>
    </row>
    <row r="707" spans="1:7" x14ac:dyDescent="0.3">
      <c r="A707" t="s">
        <v>1220</v>
      </c>
      <c r="B707" t="s">
        <v>1219</v>
      </c>
      <c r="C707" t="s">
        <v>1192</v>
      </c>
      <c r="D707" t="s">
        <v>1193</v>
      </c>
      <c r="E707" s="89">
        <v>60.124000000000002</v>
      </c>
      <c r="F707" s="90">
        <v>45413</v>
      </c>
      <c r="G707" s="90">
        <v>51501</v>
      </c>
    </row>
    <row r="708" spans="1:7" x14ac:dyDescent="0.3">
      <c r="A708" t="s">
        <v>1218</v>
      </c>
      <c r="B708" t="s">
        <v>1219</v>
      </c>
      <c r="C708" t="s">
        <v>1194</v>
      </c>
      <c r="D708" t="s">
        <v>1193</v>
      </c>
      <c r="E708" s="89">
        <v>40.712000000000003</v>
      </c>
      <c r="F708" s="90">
        <v>45413</v>
      </c>
      <c r="G708" s="90">
        <v>51501</v>
      </c>
    </row>
    <row r="709" spans="1:7" x14ac:dyDescent="0.3">
      <c r="A709" t="s">
        <v>1220</v>
      </c>
      <c r="B709" t="s">
        <v>1219</v>
      </c>
      <c r="C709" t="s">
        <v>1194</v>
      </c>
      <c r="D709" t="s">
        <v>1193</v>
      </c>
      <c r="E709" s="89">
        <v>40.712000000000003</v>
      </c>
      <c r="F709" s="90">
        <v>45413</v>
      </c>
      <c r="G709" s="90">
        <v>51501</v>
      </c>
    </row>
    <row r="710" spans="1:7" x14ac:dyDescent="0.3">
      <c r="A710" t="s">
        <v>1218</v>
      </c>
      <c r="B710" t="s">
        <v>1219</v>
      </c>
      <c r="C710" t="s">
        <v>428</v>
      </c>
      <c r="D710" t="s">
        <v>429</v>
      </c>
      <c r="E710" s="89">
        <v>20.356000000000002</v>
      </c>
      <c r="F710" s="90">
        <v>45413</v>
      </c>
      <c r="G710" s="90">
        <v>51501</v>
      </c>
    </row>
    <row r="711" spans="1:7" x14ac:dyDescent="0.3">
      <c r="A711" t="s">
        <v>1220</v>
      </c>
      <c r="B711" t="s">
        <v>1219</v>
      </c>
      <c r="C711" t="s">
        <v>428</v>
      </c>
      <c r="D711" t="s">
        <v>429</v>
      </c>
      <c r="E711" s="89">
        <v>30.062000000000001</v>
      </c>
      <c r="F711" s="90">
        <v>45413</v>
      </c>
      <c r="G711" s="90">
        <v>51501</v>
      </c>
    </row>
    <row r="712" spans="1:7" x14ac:dyDescent="0.3">
      <c r="A712" t="s">
        <v>1218</v>
      </c>
      <c r="B712" t="s">
        <v>1219</v>
      </c>
      <c r="C712" t="s">
        <v>1195</v>
      </c>
      <c r="D712" t="s">
        <v>429</v>
      </c>
      <c r="E712" s="89">
        <v>20.356000000000002</v>
      </c>
      <c r="F712" s="90">
        <v>45413</v>
      </c>
      <c r="G712" s="90">
        <v>51501</v>
      </c>
    </row>
    <row r="713" spans="1:7" x14ac:dyDescent="0.3">
      <c r="A713" t="s">
        <v>1220</v>
      </c>
      <c r="B713" t="s">
        <v>1219</v>
      </c>
      <c r="C713" t="s">
        <v>1195</v>
      </c>
      <c r="D713" t="s">
        <v>429</v>
      </c>
      <c r="E713" s="89">
        <v>20.356000000000002</v>
      </c>
      <c r="F713" s="90">
        <v>45413</v>
      </c>
      <c r="G713" s="90">
        <v>51501</v>
      </c>
    </row>
    <row r="714" spans="1:7" x14ac:dyDescent="0.3">
      <c r="A714" t="s">
        <v>1218</v>
      </c>
      <c r="B714" t="s">
        <v>1219</v>
      </c>
      <c r="C714" t="s">
        <v>1196</v>
      </c>
      <c r="D714" t="s">
        <v>1197</v>
      </c>
      <c r="E714" s="89">
        <v>20.824200000000001</v>
      </c>
      <c r="F714" s="90">
        <v>45413</v>
      </c>
      <c r="G714" s="90">
        <v>51501</v>
      </c>
    </row>
    <row r="715" spans="1:7" x14ac:dyDescent="0.3">
      <c r="A715" t="s">
        <v>1220</v>
      </c>
      <c r="B715" t="s">
        <v>1219</v>
      </c>
      <c r="C715" t="s">
        <v>1196</v>
      </c>
      <c r="D715" t="s">
        <v>1197</v>
      </c>
      <c r="E715" s="89">
        <v>30.753399999999999</v>
      </c>
      <c r="F715" s="90">
        <v>45413</v>
      </c>
      <c r="G715" s="90">
        <v>51501</v>
      </c>
    </row>
    <row r="716" spans="1:7" x14ac:dyDescent="0.3">
      <c r="A716" t="s">
        <v>1218</v>
      </c>
      <c r="B716" t="s">
        <v>1219</v>
      </c>
      <c r="C716" t="s">
        <v>1198</v>
      </c>
      <c r="D716" t="s">
        <v>1197</v>
      </c>
      <c r="E716" s="89">
        <v>20.824200000000001</v>
      </c>
      <c r="F716" s="90">
        <v>45413</v>
      </c>
      <c r="G716" s="90">
        <v>51501</v>
      </c>
    </row>
    <row r="717" spans="1:7" x14ac:dyDescent="0.3">
      <c r="A717" t="s">
        <v>1220</v>
      </c>
      <c r="B717" t="s">
        <v>1219</v>
      </c>
      <c r="C717" t="s">
        <v>1198</v>
      </c>
      <c r="D717" t="s">
        <v>1197</v>
      </c>
      <c r="E717" s="89">
        <v>20.824200000000001</v>
      </c>
      <c r="F717" s="90">
        <v>45413</v>
      </c>
      <c r="G717" s="90">
        <v>51501</v>
      </c>
    </row>
    <row r="718" spans="1:7" x14ac:dyDescent="0.3">
      <c r="A718" t="s">
        <v>1218</v>
      </c>
      <c r="B718" t="s">
        <v>1219</v>
      </c>
      <c r="C718" t="s">
        <v>438</v>
      </c>
      <c r="D718" t="s">
        <v>439</v>
      </c>
      <c r="E718" s="89">
        <v>25.445</v>
      </c>
      <c r="F718" s="90">
        <v>45413</v>
      </c>
      <c r="G718" s="90">
        <v>51501</v>
      </c>
    </row>
    <row r="719" spans="1:7" x14ac:dyDescent="0.3">
      <c r="A719" t="s">
        <v>1220</v>
      </c>
      <c r="B719" t="s">
        <v>1219</v>
      </c>
      <c r="C719" t="s">
        <v>438</v>
      </c>
      <c r="D719" t="s">
        <v>439</v>
      </c>
      <c r="E719" s="89">
        <v>37.577500000000001</v>
      </c>
      <c r="F719" s="90">
        <v>45413</v>
      </c>
      <c r="G719" s="90">
        <v>51501</v>
      </c>
    </row>
    <row r="720" spans="1:7" x14ac:dyDescent="0.3">
      <c r="A720" t="s">
        <v>1218</v>
      </c>
      <c r="B720" t="s">
        <v>1219</v>
      </c>
      <c r="C720" t="s">
        <v>1199</v>
      </c>
      <c r="D720" t="s">
        <v>439</v>
      </c>
      <c r="E720" s="89">
        <v>25.445</v>
      </c>
      <c r="F720" s="90">
        <v>45413</v>
      </c>
      <c r="G720" s="90">
        <v>51501</v>
      </c>
    </row>
    <row r="721" spans="1:7" x14ac:dyDescent="0.3">
      <c r="A721" t="s">
        <v>1220</v>
      </c>
      <c r="B721" t="s">
        <v>1219</v>
      </c>
      <c r="C721" t="s">
        <v>1199</v>
      </c>
      <c r="D721" t="s">
        <v>439</v>
      </c>
      <c r="E721" s="89">
        <v>25.445</v>
      </c>
      <c r="F721" s="90">
        <v>45413</v>
      </c>
      <c r="G721" s="90">
        <v>51501</v>
      </c>
    </row>
    <row r="722" spans="1:7" x14ac:dyDescent="0.3">
      <c r="A722" t="s">
        <v>1218</v>
      </c>
      <c r="B722" t="s">
        <v>1219</v>
      </c>
      <c r="C722" t="s">
        <v>1200</v>
      </c>
      <c r="D722" t="s">
        <v>1201</v>
      </c>
      <c r="E722" s="89">
        <v>29.923300000000001</v>
      </c>
      <c r="F722" s="90">
        <v>45413</v>
      </c>
      <c r="G722" s="90">
        <v>51501</v>
      </c>
    </row>
    <row r="723" spans="1:7" x14ac:dyDescent="0.3">
      <c r="A723" t="s">
        <v>1220</v>
      </c>
      <c r="B723" t="s">
        <v>1219</v>
      </c>
      <c r="C723" t="s">
        <v>1200</v>
      </c>
      <c r="D723" t="s">
        <v>1201</v>
      </c>
      <c r="E723" s="89">
        <v>44.191099999999999</v>
      </c>
      <c r="F723" s="90">
        <v>45413</v>
      </c>
      <c r="G723" s="90">
        <v>51501</v>
      </c>
    </row>
    <row r="724" spans="1:7" x14ac:dyDescent="0.3">
      <c r="A724" t="s">
        <v>1218</v>
      </c>
      <c r="B724" t="s">
        <v>1219</v>
      </c>
      <c r="C724" t="s">
        <v>1202</v>
      </c>
      <c r="D724" t="s">
        <v>1201</v>
      </c>
      <c r="E724" s="89">
        <v>29.923300000000001</v>
      </c>
      <c r="F724" s="90">
        <v>45413</v>
      </c>
      <c r="G724" s="90">
        <v>51501</v>
      </c>
    </row>
    <row r="725" spans="1:7" x14ac:dyDescent="0.3">
      <c r="A725" t="s">
        <v>1220</v>
      </c>
      <c r="B725" t="s">
        <v>1219</v>
      </c>
      <c r="C725" t="s">
        <v>1202</v>
      </c>
      <c r="D725" t="s">
        <v>1201</v>
      </c>
      <c r="E725" s="89">
        <v>29.923300000000001</v>
      </c>
      <c r="F725" s="90">
        <v>45413</v>
      </c>
      <c r="G725" s="90">
        <v>51501</v>
      </c>
    </row>
    <row r="726" spans="1:7" x14ac:dyDescent="0.3">
      <c r="A726" t="s">
        <v>1218</v>
      </c>
      <c r="B726" t="s">
        <v>1219</v>
      </c>
      <c r="C726" t="s">
        <v>448</v>
      </c>
      <c r="D726" t="s">
        <v>449</v>
      </c>
      <c r="E726" s="89">
        <v>30.533999999999999</v>
      </c>
      <c r="F726" s="90">
        <v>45413</v>
      </c>
      <c r="G726" s="90">
        <v>51501</v>
      </c>
    </row>
    <row r="727" spans="1:7" x14ac:dyDescent="0.3">
      <c r="A727" t="s">
        <v>1220</v>
      </c>
      <c r="B727" t="s">
        <v>1219</v>
      </c>
      <c r="C727" t="s">
        <v>448</v>
      </c>
      <c r="D727" t="s">
        <v>449</v>
      </c>
      <c r="E727" s="89">
        <v>45.093000000000004</v>
      </c>
      <c r="F727" s="90">
        <v>45413</v>
      </c>
      <c r="G727" s="90">
        <v>51501</v>
      </c>
    </row>
    <row r="728" spans="1:7" x14ac:dyDescent="0.3">
      <c r="A728" t="s">
        <v>1218</v>
      </c>
      <c r="B728" t="s">
        <v>1219</v>
      </c>
      <c r="C728" t="s">
        <v>1203</v>
      </c>
      <c r="D728" t="s">
        <v>449</v>
      </c>
      <c r="E728" s="89">
        <v>30.533999999999999</v>
      </c>
      <c r="F728" s="90">
        <v>45413</v>
      </c>
      <c r="G728" s="90">
        <v>51501</v>
      </c>
    </row>
    <row r="729" spans="1:7" x14ac:dyDescent="0.3">
      <c r="A729" t="s">
        <v>1220</v>
      </c>
      <c r="B729" t="s">
        <v>1219</v>
      </c>
      <c r="C729" t="s">
        <v>1203</v>
      </c>
      <c r="D729" t="s">
        <v>449</v>
      </c>
      <c r="E729" s="89">
        <v>30.533999999999999</v>
      </c>
      <c r="F729" s="90">
        <v>45413</v>
      </c>
      <c r="G729" s="90">
        <v>51501</v>
      </c>
    </row>
    <row r="730" spans="1:7" x14ac:dyDescent="0.3">
      <c r="A730" t="s">
        <v>1218</v>
      </c>
      <c r="B730" t="s">
        <v>1219</v>
      </c>
      <c r="C730" t="s">
        <v>458</v>
      </c>
      <c r="D730" t="s">
        <v>459</v>
      </c>
      <c r="E730" s="89">
        <v>41.638199999999998</v>
      </c>
      <c r="F730" s="90">
        <v>45413</v>
      </c>
      <c r="G730" s="90">
        <v>51501</v>
      </c>
    </row>
    <row r="731" spans="1:7" x14ac:dyDescent="0.3">
      <c r="A731" t="s">
        <v>1220</v>
      </c>
      <c r="B731" t="s">
        <v>1219</v>
      </c>
      <c r="C731" t="s">
        <v>458</v>
      </c>
      <c r="D731" t="s">
        <v>459</v>
      </c>
      <c r="E731" s="89">
        <v>61.491799999999998</v>
      </c>
      <c r="F731" s="90">
        <v>45413</v>
      </c>
      <c r="G731" s="90">
        <v>51501</v>
      </c>
    </row>
    <row r="732" spans="1:7" x14ac:dyDescent="0.3">
      <c r="A732" t="s">
        <v>1218</v>
      </c>
      <c r="B732" t="s">
        <v>1219</v>
      </c>
      <c r="C732" t="s">
        <v>1204</v>
      </c>
      <c r="D732" t="s">
        <v>459</v>
      </c>
      <c r="E732" s="89">
        <v>41.638199999999998</v>
      </c>
      <c r="F732" s="90">
        <v>45413</v>
      </c>
      <c r="G732" s="90">
        <v>51501</v>
      </c>
    </row>
    <row r="733" spans="1:7" x14ac:dyDescent="0.3">
      <c r="A733" t="s">
        <v>1220</v>
      </c>
      <c r="B733" t="s">
        <v>1219</v>
      </c>
      <c r="C733" t="s">
        <v>1204</v>
      </c>
      <c r="D733" t="s">
        <v>459</v>
      </c>
      <c r="E733" s="89">
        <v>41.638199999999998</v>
      </c>
      <c r="F733" s="90">
        <v>45413</v>
      </c>
      <c r="G733" s="90">
        <v>51501</v>
      </c>
    </row>
    <row r="734" spans="1:7" x14ac:dyDescent="0.3">
      <c r="A734" t="s">
        <v>1218</v>
      </c>
      <c r="B734" t="s">
        <v>1219</v>
      </c>
      <c r="C734" t="s">
        <v>468</v>
      </c>
      <c r="D734" t="s">
        <v>469</v>
      </c>
      <c r="E734" s="89">
        <v>46.269199999999998</v>
      </c>
      <c r="F734" s="90">
        <v>45413</v>
      </c>
      <c r="G734" s="90">
        <v>51501</v>
      </c>
    </row>
    <row r="735" spans="1:7" x14ac:dyDescent="0.3">
      <c r="A735" t="s">
        <v>1220</v>
      </c>
      <c r="B735" t="s">
        <v>1219</v>
      </c>
      <c r="C735" t="s">
        <v>468</v>
      </c>
      <c r="D735" t="s">
        <v>469</v>
      </c>
      <c r="E735" s="89">
        <v>68.3309</v>
      </c>
      <c r="F735" s="90">
        <v>45413</v>
      </c>
      <c r="G735" s="90">
        <v>51501</v>
      </c>
    </row>
    <row r="736" spans="1:7" x14ac:dyDescent="0.3">
      <c r="A736" t="s">
        <v>1218</v>
      </c>
      <c r="B736" t="s">
        <v>1219</v>
      </c>
      <c r="C736" t="s">
        <v>1205</v>
      </c>
      <c r="D736" t="s">
        <v>469</v>
      </c>
      <c r="E736" s="89">
        <v>46.269199999999998</v>
      </c>
      <c r="F736" s="90">
        <v>45413</v>
      </c>
      <c r="G736" s="90">
        <v>51501</v>
      </c>
    </row>
    <row r="737" spans="1:7" x14ac:dyDescent="0.3">
      <c r="A737" t="s">
        <v>1220</v>
      </c>
      <c r="B737" t="s">
        <v>1219</v>
      </c>
      <c r="C737" t="s">
        <v>1205</v>
      </c>
      <c r="D737" t="s">
        <v>469</v>
      </c>
      <c r="E737" s="89">
        <v>46.269199999999998</v>
      </c>
      <c r="F737" s="90">
        <v>45413</v>
      </c>
      <c r="G737" s="90">
        <v>51501</v>
      </c>
    </row>
    <row r="738" spans="1:7" x14ac:dyDescent="0.3">
      <c r="A738" t="s">
        <v>1218</v>
      </c>
      <c r="B738" t="s">
        <v>1219</v>
      </c>
      <c r="C738" t="s">
        <v>478</v>
      </c>
      <c r="D738" t="s">
        <v>479</v>
      </c>
      <c r="E738" s="89">
        <v>50.89</v>
      </c>
      <c r="F738" s="90">
        <v>45413</v>
      </c>
      <c r="G738" s="90">
        <v>51501</v>
      </c>
    </row>
    <row r="739" spans="1:7" x14ac:dyDescent="0.3">
      <c r="A739" t="s">
        <v>1220</v>
      </c>
      <c r="B739" t="s">
        <v>1219</v>
      </c>
      <c r="C739" t="s">
        <v>478</v>
      </c>
      <c r="D739" t="s">
        <v>479</v>
      </c>
      <c r="E739" s="89">
        <v>75.155000000000001</v>
      </c>
      <c r="F739" s="90">
        <v>45413</v>
      </c>
      <c r="G739" s="90">
        <v>51501</v>
      </c>
    </row>
    <row r="740" spans="1:7" x14ac:dyDescent="0.3">
      <c r="A740" t="s">
        <v>1218</v>
      </c>
      <c r="B740" t="s">
        <v>1219</v>
      </c>
      <c r="C740" t="s">
        <v>1206</v>
      </c>
      <c r="D740" t="s">
        <v>479</v>
      </c>
      <c r="E740" s="89">
        <v>50.89</v>
      </c>
      <c r="F740" s="90">
        <v>45413</v>
      </c>
      <c r="G740" s="90">
        <v>51501</v>
      </c>
    </row>
    <row r="741" spans="1:7" x14ac:dyDescent="0.3">
      <c r="A741" t="s">
        <v>1220</v>
      </c>
      <c r="B741" t="s">
        <v>1219</v>
      </c>
      <c r="C741" t="s">
        <v>1206</v>
      </c>
      <c r="D741" t="s">
        <v>479</v>
      </c>
      <c r="E741" s="89">
        <v>50.89</v>
      </c>
      <c r="F741" s="90">
        <v>45413</v>
      </c>
      <c r="G741" s="90">
        <v>51501</v>
      </c>
    </row>
    <row r="742" spans="1:7" x14ac:dyDescent="0.3">
      <c r="A742" t="s">
        <v>1218</v>
      </c>
      <c r="B742" t="s">
        <v>1219</v>
      </c>
      <c r="C742" t="s">
        <v>1207</v>
      </c>
      <c r="D742" t="s">
        <v>1208</v>
      </c>
      <c r="E742" s="89">
        <v>59.032400000000003</v>
      </c>
      <c r="F742" s="90">
        <v>45413</v>
      </c>
      <c r="G742" s="90">
        <v>51501</v>
      </c>
    </row>
    <row r="743" spans="1:7" x14ac:dyDescent="0.3">
      <c r="A743" t="s">
        <v>1220</v>
      </c>
      <c r="B743" t="s">
        <v>1219</v>
      </c>
      <c r="C743" t="s">
        <v>1207</v>
      </c>
      <c r="D743" t="s">
        <v>1208</v>
      </c>
      <c r="E743" s="89">
        <v>87.1798</v>
      </c>
      <c r="F743" s="90">
        <v>45413</v>
      </c>
      <c r="G743" s="90">
        <v>51501</v>
      </c>
    </row>
    <row r="744" spans="1:7" x14ac:dyDescent="0.3">
      <c r="A744" t="s">
        <v>1218</v>
      </c>
      <c r="B744" t="s">
        <v>1219</v>
      </c>
      <c r="C744" t="s">
        <v>1209</v>
      </c>
      <c r="D744" t="s">
        <v>1208</v>
      </c>
      <c r="E744" s="89">
        <v>59.032400000000003</v>
      </c>
      <c r="F744" s="90">
        <v>45413</v>
      </c>
      <c r="G744" s="90">
        <v>51501</v>
      </c>
    </row>
    <row r="745" spans="1:7" x14ac:dyDescent="0.3">
      <c r="A745" t="s">
        <v>1220</v>
      </c>
      <c r="B745" t="s">
        <v>1219</v>
      </c>
      <c r="C745" t="s">
        <v>1209</v>
      </c>
      <c r="D745" t="s">
        <v>1208</v>
      </c>
      <c r="E745" s="89">
        <v>59.032400000000003</v>
      </c>
      <c r="F745" s="90">
        <v>45413</v>
      </c>
      <c r="G745" s="90">
        <v>51501</v>
      </c>
    </row>
    <row r="746" spans="1:7" x14ac:dyDescent="0.3">
      <c r="A746" t="s">
        <v>1218</v>
      </c>
      <c r="B746" t="s">
        <v>1219</v>
      </c>
      <c r="C746" t="s">
        <v>488</v>
      </c>
      <c r="D746" t="s">
        <v>489</v>
      </c>
      <c r="E746" s="89">
        <v>59.643099999999997</v>
      </c>
      <c r="F746" s="90">
        <v>45413</v>
      </c>
      <c r="G746" s="90">
        <v>51501</v>
      </c>
    </row>
    <row r="747" spans="1:7" x14ac:dyDescent="0.3">
      <c r="A747" t="s">
        <v>1220</v>
      </c>
      <c r="B747" t="s">
        <v>1219</v>
      </c>
      <c r="C747" t="s">
        <v>488</v>
      </c>
      <c r="D747" t="s">
        <v>489</v>
      </c>
      <c r="E747" s="89">
        <v>88.081699999999998</v>
      </c>
      <c r="F747" s="90">
        <v>45413</v>
      </c>
      <c r="G747" s="90">
        <v>51501</v>
      </c>
    </row>
    <row r="748" spans="1:7" x14ac:dyDescent="0.3">
      <c r="A748" t="s">
        <v>1218</v>
      </c>
      <c r="B748" t="s">
        <v>1219</v>
      </c>
      <c r="C748" t="s">
        <v>1210</v>
      </c>
      <c r="D748" t="s">
        <v>489</v>
      </c>
      <c r="E748" s="89">
        <v>59.643099999999997</v>
      </c>
      <c r="F748" s="90">
        <v>45413</v>
      </c>
      <c r="G748" s="90">
        <v>51501</v>
      </c>
    </row>
    <row r="749" spans="1:7" x14ac:dyDescent="0.3">
      <c r="A749" t="s">
        <v>1220</v>
      </c>
      <c r="B749" t="s">
        <v>1219</v>
      </c>
      <c r="C749" t="s">
        <v>1210</v>
      </c>
      <c r="D749" t="s">
        <v>489</v>
      </c>
      <c r="E749" s="89">
        <v>59.643099999999997</v>
      </c>
      <c r="F749" s="90">
        <v>45413</v>
      </c>
      <c r="G749" s="90">
        <v>51501</v>
      </c>
    </row>
    <row r="750" spans="1:7" x14ac:dyDescent="0.3">
      <c r="A750" t="s">
        <v>1218</v>
      </c>
      <c r="B750" t="s">
        <v>1219</v>
      </c>
      <c r="C750" t="s">
        <v>498</v>
      </c>
      <c r="D750" t="s">
        <v>499</v>
      </c>
      <c r="E750" s="89">
        <v>59.712299999999999</v>
      </c>
      <c r="F750" s="90">
        <v>45413</v>
      </c>
      <c r="G750" s="90">
        <v>51501</v>
      </c>
    </row>
    <row r="751" spans="1:7" x14ac:dyDescent="0.3">
      <c r="A751" t="s">
        <v>1220</v>
      </c>
      <c r="B751" t="s">
        <v>1219</v>
      </c>
      <c r="C751" t="s">
        <v>498</v>
      </c>
      <c r="D751" t="s">
        <v>499</v>
      </c>
      <c r="E751" s="89">
        <v>88.183899999999994</v>
      </c>
      <c r="F751" s="90">
        <v>45413</v>
      </c>
      <c r="G751" s="90">
        <v>51501</v>
      </c>
    </row>
    <row r="752" spans="1:7" x14ac:dyDescent="0.3">
      <c r="A752" t="s">
        <v>1218</v>
      </c>
      <c r="B752" t="s">
        <v>1219</v>
      </c>
      <c r="C752" t="s">
        <v>1211</v>
      </c>
      <c r="D752" t="s">
        <v>499</v>
      </c>
      <c r="E752" s="89">
        <v>59.712299999999999</v>
      </c>
      <c r="F752" s="90">
        <v>45413</v>
      </c>
      <c r="G752" s="90">
        <v>51501</v>
      </c>
    </row>
    <row r="753" spans="1:11" x14ac:dyDescent="0.3">
      <c r="A753" t="s">
        <v>1220</v>
      </c>
      <c r="B753" t="s">
        <v>1219</v>
      </c>
      <c r="C753" t="s">
        <v>1211</v>
      </c>
      <c r="D753" t="s">
        <v>499</v>
      </c>
      <c r="E753" s="89">
        <v>59.712299999999999</v>
      </c>
      <c r="F753" s="90">
        <v>45413</v>
      </c>
      <c r="G753" s="90">
        <v>51501</v>
      </c>
    </row>
    <row r="754" spans="1:11" x14ac:dyDescent="0.3">
      <c r="A754" t="s">
        <v>1218</v>
      </c>
      <c r="B754" t="s">
        <v>1219</v>
      </c>
      <c r="C754" t="s">
        <v>1212</v>
      </c>
      <c r="D754" t="s">
        <v>1213</v>
      </c>
      <c r="E754" s="89">
        <v>59.714300000000001</v>
      </c>
      <c r="F754" s="90">
        <v>45413</v>
      </c>
      <c r="G754" s="90">
        <v>51501</v>
      </c>
    </row>
    <row r="755" spans="1:11" x14ac:dyDescent="0.3">
      <c r="A755" t="s">
        <v>1220</v>
      </c>
      <c r="B755" t="s">
        <v>1219</v>
      </c>
      <c r="C755" t="s">
        <v>1212</v>
      </c>
      <c r="D755" t="s">
        <v>1213</v>
      </c>
      <c r="E755" s="89">
        <v>88.186899999999994</v>
      </c>
      <c r="F755" s="90">
        <v>45413</v>
      </c>
      <c r="G755" s="90">
        <v>51501</v>
      </c>
    </row>
    <row r="756" spans="1:11" x14ac:dyDescent="0.3">
      <c r="A756" t="s">
        <v>1218</v>
      </c>
      <c r="B756" t="s">
        <v>1219</v>
      </c>
      <c r="C756" t="s">
        <v>1214</v>
      </c>
      <c r="D756" t="s">
        <v>1213</v>
      </c>
      <c r="E756" s="89">
        <v>59.714300000000001</v>
      </c>
      <c r="F756" s="90">
        <v>45413</v>
      </c>
      <c r="G756" s="90">
        <v>51501</v>
      </c>
    </row>
    <row r="757" spans="1:11" x14ac:dyDescent="0.3">
      <c r="A757" t="s">
        <v>1220</v>
      </c>
      <c r="B757" t="s">
        <v>1219</v>
      </c>
      <c r="C757" t="s">
        <v>1214</v>
      </c>
      <c r="D757" t="s">
        <v>1213</v>
      </c>
      <c r="E757" s="89">
        <v>59.714300000000001</v>
      </c>
      <c r="F757" s="90">
        <v>45413</v>
      </c>
      <c r="G757" s="90">
        <v>51501</v>
      </c>
    </row>
    <row r="758" spans="1:11" x14ac:dyDescent="0.3">
      <c r="A758" t="s">
        <v>1218</v>
      </c>
      <c r="B758" t="s">
        <v>1219</v>
      </c>
      <c r="C758" t="s">
        <v>508</v>
      </c>
      <c r="D758" t="s">
        <v>509</v>
      </c>
      <c r="E758" s="89">
        <v>2.7488000000000001</v>
      </c>
      <c r="F758" s="90">
        <v>45413</v>
      </c>
      <c r="G758" s="90">
        <v>51501</v>
      </c>
    </row>
    <row r="759" spans="1:11" x14ac:dyDescent="0.3">
      <c r="A759" t="s">
        <v>1220</v>
      </c>
      <c r="B759" t="s">
        <v>1219</v>
      </c>
      <c r="C759" t="s">
        <v>508</v>
      </c>
      <c r="D759" t="s">
        <v>509</v>
      </c>
      <c r="E759" s="89">
        <v>4.07</v>
      </c>
      <c r="F759" s="90">
        <v>45413</v>
      </c>
      <c r="G759" s="90">
        <v>51501</v>
      </c>
    </row>
    <row r="760" spans="1:11" x14ac:dyDescent="0.3">
      <c r="A760" t="s">
        <v>1218</v>
      </c>
      <c r="B760" t="s">
        <v>1219</v>
      </c>
      <c r="C760" t="s">
        <v>1215</v>
      </c>
      <c r="D760" t="s">
        <v>509</v>
      </c>
      <c r="E760" s="89">
        <v>2.7488000000000001</v>
      </c>
      <c r="F760" s="90">
        <v>45413</v>
      </c>
      <c r="G760" s="90">
        <v>51501</v>
      </c>
    </row>
    <row r="761" spans="1:11" x14ac:dyDescent="0.3">
      <c r="A761" t="s">
        <v>1220</v>
      </c>
      <c r="B761" t="s">
        <v>1219</v>
      </c>
      <c r="C761" t="s">
        <v>1215</v>
      </c>
      <c r="D761" t="s">
        <v>509</v>
      </c>
      <c r="E761" s="89">
        <v>2.7488000000000001</v>
      </c>
      <c r="F761" s="90">
        <v>45413</v>
      </c>
      <c r="G761" s="90">
        <v>51501</v>
      </c>
    </row>
    <row r="762" spans="1:11" x14ac:dyDescent="0.3">
      <c r="A762" t="s">
        <v>1219</v>
      </c>
      <c r="B762" t="s">
        <v>1219</v>
      </c>
      <c r="C762" t="s">
        <v>1221</v>
      </c>
      <c r="D762" t="s">
        <v>1272</v>
      </c>
      <c r="E762" s="89">
        <v>1.8807</v>
      </c>
      <c r="F762" s="90">
        <v>45413</v>
      </c>
      <c r="G762" s="90">
        <v>51501</v>
      </c>
    </row>
    <row r="763" spans="1:11" x14ac:dyDescent="0.3">
      <c r="A763" t="s">
        <v>1219</v>
      </c>
      <c r="B763" t="s">
        <v>1219</v>
      </c>
      <c r="C763" s="145" t="s">
        <v>1222</v>
      </c>
      <c r="D763" s="145" t="s">
        <v>1273</v>
      </c>
      <c r="E763" s="146">
        <v>2.5442</v>
      </c>
      <c r="F763" s="147">
        <v>45413</v>
      </c>
      <c r="G763" s="147">
        <v>51501</v>
      </c>
      <c r="I763" s="4" t="s">
        <v>20</v>
      </c>
      <c r="J763" t="s">
        <v>21</v>
      </c>
      <c r="K763" s="69">
        <v>2.5442</v>
      </c>
    </row>
    <row r="764" spans="1:11" x14ac:dyDescent="0.3">
      <c r="A764" t="s">
        <v>1219</v>
      </c>
      <c r="B764" t="s">
        <v>1219</v>
      </c>
      <c r="C764" s="145" t="s">
        <v>1223</v>
      </c>
      <c r="D764" s="145" t="s">
        <v>1274</v>
      </c>
      <c r="E764" s="146">
        <v>18.1525</v>
      </c>
      <c r="F764" s="147">
        <v>45413</v>
      </c>
      <c r="G764" s="147">
        <v>51501</v>
      </c>
      <c r="I764" s="4" t="s">
        <v>54</v>
      </c>
      <c r="J764" t="s">
        <v>55</v>
      </c>
      <c r="K764" s="69">
        <v>18.1525</v>
      </c>
    </row>
    <row r="765" spans="1:11" x14ac:dyDescent="0.3">
      <c r="A765" t="s">
        <v>1219</v>
      </c>
      <c r="B765" t="s">
        <v>1219</v>
      </c>
      <c r="C765" t="s">
        <v>937</v>
      </c>
      <c r="D765" t="s">
        <v>938</v>
      </c>
      <c r="E765" s="89">
        <v>5.0885999999999996</v>
      </c>
      <c r="F765" s="90">
        <v>45413</v>
      </c>
      <c r="G765" s="90">
        <v>51501</v>
      </c>
    </row>
    <row r="766" spans="1:11" x14ac:dyDescent="0.3">
      <c r="A766" t="s">
        <v>1219</v>
      </c>
      <c r="B766" t="s">
        <v>1219</v>
      </c>
      <c r="C766" t="s">
        <v>127</v>
      </c>
      <c r="D766" t="s">
        <v>128</v>
      </c>
      <c r="E766" s="89">
        <v>12.7225</v>
      </c>
      <c r="F766" s="90">
        <v>45413</v>
      </c>
      <c r="G766" s="90">
        <v>51501</v>
      </c>
    </row>
    <row r="767" spans="1:11" x14ac:dyDescent="0.3">
      <c r="A767" t="s">
        <v>1219</v>
      </c>
      <c r="B767" t="s">
        <v>1219</v>
      </c>
      <c r="C767" t="s">
        <v>56</v>
      </c>
      <c r="D767" t="s">
        <v>57</v>
      </c>
      <c r="E767" s="89">
        <v>21.6646</v>
      </c>
      <c r="F767" s="90">
        <v>45413</v>
      </c>
      <c r="G767" s="90">
        <v>51501</v>
      </c>
    </row>
    <row r="768" spans="1:11" x14ac:dyDescent="0.3">
      <c r="A768" t="s">
        <v>1219</v>
      </c>
      <c r="B768" t="s">
        <v>1219</v>
      </c>
      <c r="C768" t="s">
        <v>133</v>
      </c>
      <c r="D768" t="s">
        <v>134</v>
      </c>
      <c r="E768" s="89">
        <v>9.1594999999999995</v>
      </c>
      <c r="F768" s="90">
        <v>45413</v>
      </c>
      <c r="G768" s="90">
        <v>51501</v>
      </c>
    </row>
    <row r="769" spans="1:11" x14ac:dyDescent="0.3">
      <c r="A769" t="s">
        <v>1219</v>
      </c>
      <c r="B769" t="s">
        <v>1219</v>
      </c>
      <c r="C769" s="133" t="s">
        <v>1224</v>
      </c>
      <c r="D769" s="133" t="s">
        <v>1275</v>
      </c>
      <c r="E769" s="134">
        <v>3.8166000000000002</v>
      </c>
      <c r="F769" s="148">
        <v>45413</v>
      </c>
      <c r="G769" s="148">
        <v>51501</v>
      </c>
    </row>
    <row r="770" spans="1:11" x14ac:dyDescent="0.3">
      <c r="A770" t="s">
        <v>1219</v>
      </c>
      <c r="B770" t="s">
        <v>1219</v>
      </c>
      <c r="C770" t="s">
        <v>58</v>
      </c>
      <c r="D770" t="s">
        <v>59</v>
      </c>
      <c r="E770" s="89">
        <v>28.094799999999999</v>
      </c>
      <c r="F770" s="90">
        <v>45413</v>
      </c>
      <c r="G770" s="90">
        <v>51501</v>
      </c>
    </row>
    <row r="771" spans="1:11" x14ac:dyDescent="0.3">
      <c r="A771" t="s">
        <v>1219</v>
      </c>
      <c r="B771" t="s">
        <v>1219</v>
      </c>
      <c r="C771" t="s">
        <v>60</v>
      </c>
      <c r="D771" t="s">
        <v>61</v>
      </c>
      <c r="E771" s="89">
        <v>32.779699999999998</v>
      </c>
      <c r="F771" s="90">
        <v>45413</v>
      </c>
      <c r="G771" s="90">
        <v>51501</v>
      </c>
    </row>
    <row r="772" spans="1:11" x14ac:dyDescent="0.3">
      <c r="A772" t="s">
        <v>1219</v>
      </c>
      <c r="B772" t="s">
        <v>1219</v>
      </c>
      <c r="C772" t="s">
        <v>10</v>
      </c>
      <c r="D772" t="s">
        <v>11</v>
      </c>
      <c r="E772" s="89">
        <v>0.50890000000000002</v>
      </c>
      <c r="F772" s="90">
        <v>45413</v>
      </c>
      <c r="G772" s="90">
        <v>51501</v>
      </c>
    </row>
    <row r="773" spans="1:11" x14ac:dyDescent="0.3">
      <c r="A773" t="s">
        <v>1219</v>
      </c>
      <c r="B773" t="s">
        <v>1219</v>
      </c>
      <c r="C773" t="s">
        <v>22</v>
      </c>
      <c r="D773" t="s">
        <v>23</v>
      </c>
      <c r="E773" s="89">
        <v>4.391</v>
      </c>
      <c r="F773" s="90">
        <v>45413</v>
      </c>
      <c r="G773" s="90">
        <v>51501</v>
      </c>
    </row>
    <row r="774" spans="1:11" x14ac:dyDescent="0.3">
      <c r="A774" t="s">
        <v>1219</v>
      </c>
      <c r="B774" t="s">
        <v>1219</v>
      </c>
      <c r="C774" t="s">
        <v>62</v>
      </c>
      <c r="D774" t="s">
        <v>63</v>
      </c>
      <c r="E774" s="89">
        <v>37.460599999999999</v>
      </c>
      <c r="F774" s="90">
        <v>45413</v>
      </c>
      <c r="G774" s="90">
        <v>51501</v>
      </c>
    </row>
    <row r="775" spans="1:11" x14ac:dyDescent="0.3">
      <c r="A775" t="s">
        <v>1219</v>
      </c>
      <c r="B775" t="s">
        <v>1219</v>
      </c>
      <c r="C775" s="138" t="s">
        <v>1225</v>
      </c>
      <c r="D775" s="138" t="s">
        <v>1276</v>
      </c>
      <c r="E775" s="143">
        <v>25.444800000000001</v>
      </c>
      <c r="F775" s="144">
        <v>45413</v>
      </c>
      <c r="G775" s="144">
        <v>51501</v>
      </c>
    </row>
    <row r="776" spans="1:11" x14ac:dyDescent="0.3">
      <c r="A776" t="s">
        <v>1219</v>
      </c>
      <c r="B776" t="s">
        <v>1219</v>
      </c>
      <c r="C776" t="s">
        <v>135</v>
      </c>
      <c r="D776" t="s">
        <v>136</v>
      </c>
      <c r="E776" s="89">
        <v>18.3141</v>
      </c>
      <c r="F776" s="90">
        <v>45413</v>
      </c>
      <c r="G776" s="90">
        <v>51501</v>
      </c>
    </row>
    <row r="777" spans="1:11" x14ac:dyDescent="0.3">
      <c r="A777" t="s">
        <v>1219</v>
      </c>
      <c r="B777" t="s">
        <v>1219</v>
      </c>
      <c r="C777" t="s">
        <v>24</v>
      </c>
      <c r="D777" t="s">
        <v>25</v>
      </c>
      <c r="E777" s="89">
        <v>5.4886999999999997</v>
      </c>
      <c r="F777" s="90">
        <v>45413</v>
      </c>
      <c r="G777" s="90">
        <v>51501</v>
      </c>
    </row>
    <row r="778" spans="1:11" x14ac:dyDescent="0.3">
      <c r="A778" t="s">
        <v>1219</v>
      </c>
      <c r="B778" t="s">
        <v>1219</v>
      </c>
      <c r="C778" t="s">
        <v>12</v>
      </c>
      <c r="D778" t="s">
        <v>13</v>
      </c>
      <c r="E778" s="89">
        <v>0.7369</v>
      </c>
      <c r="F778" s="90">
        <v>45413</v>
      </c>
      <c r="G778" s="90">
        <v>51501</v>
      </c>
    </row>
    <row r="779" spans="1:11" x14ac:dyDescent="0.3">
      <c r="A779" t="s">
        <v>1219</v>
      </c>
      <c r="B779" t="s">
        <v>1219</v>
      </c>
      <c r="C779" t="s">
        <v>87</v>
      </c>
      <c r="D779" t="s">
        <v>88</v>
      </c>
      <c r="E779" s="89">
        <v>16.133299999999998</v>
      </c>
      <c r="F779" s="90">
        <v>45413</v>
      </c>
      <c r="G779" s="90">
        <v>51501</v>
      </c>
    </row>
    <row r="780" spans="1:11" x14ac:dyDescent="0.3">
      <c r="A780" t="s">
        <v>1219</v>
      </c>
      <c r="B780" t="s">
        <v>1219</v>
      </c>
      <c r="C780" s="145" t="s">
        <v>1226</v>
      </c>
      <c r="D780" s="145" t="s">
        <v>1277</v>
      </c>
      <c r="E780" s="146">
        <v>0.7631</v>
      </c>
      <c r="F780" s="147">
        <v>45413</v>
      </c>
      <c r="G780" s="147">
        <v>51501</v>
      </c>
      <c r="I780" s="4" t="s">
        <v>14</v>
      </c>
      <c r="J780" t="s">
        <v>15</v>
      </c>
      <c r="K780" s="69">
        <v>0.7631</v>
      </c>
    </row>
    <row r="781" spans="1:11" x14ac:dyDescent="0.3">
      <c r="A781" t="s">
        <v>1219</v>
      </c>
      <c r="B781" t="s">
        <v>1219</v>
      </c>
      <c r="C781" t="s">
        <v>68</v>
      </c>
      <c r="D781" t="s">
        <v>69</v>
      </c>
      <c r="E781" s="89">
        <v>53.798900000000003</v>
      </c>
      <c r="F781" s="90">
        <v>45413</v>
      </c>
      <c r="G781" s="90">
        <v>51501</v>
      </c>
    </row>
    <row r="782" spans="1:11" x14ac:dyDescent="0.3">
      <c r="A782" t="s">
        <v>1219</v>
      </c>
      <c r="B782" t="s">
        <v>1219</v>
      </c>
      <c r="C782" t="s">
        <v>30</v>
      </c>
      <c r="D782" t="s">
        <v>31</v>
      </c>
      <c r="E782" s="89">
        <v>7.5279999999999996</v>
      </c>
      <c r="F782" s="90">
        <v>45413</v>
      </c>
      <c r="G782" s="90">
        <v>51501</v>
      </c>
    </row>
    <row r="783" spans="1:11" x14ac:dyDescent="0.3">
      <c r="A783" t="s">
        <v>1219</v>
      </c>
      <c r="B783" t="s">
        <v>1219</v>
      </c>
      <c r="C783" s="145" t="s">
        <v>1227</v>
      </c>
      <c r="D783" s="145" t="s">
        <v>1278</v>
      </c>
      <c r="E783" s="146">
        <v>8.0670999999999999</v>
      </c>
      <c r="F783" s="147">
        <v>45413</v>
      </c>
      <c r="G783" s="147">
        <v>51501</v>
      </c>
      <c r="I783" s="4" t="s">
        <v>34</v>
      </c>
      <c r="J783" t="s">
        <v>35</v>
      </c>
      <c r="K783" s="69">
        <v>8.0670999999999999</v>
      </c>
    </row>
    <row r="784" spans="1:11" x14ac:dyDescent="0.3">
      <c r="A784" t="s">
        <v>1219</v>
      </c>
      <c r="B784" t="s">
        <v>1219</v>
      </c>
      <c r="C784" t="s">
        <v>93</v>
      </c>
      <c r="D784" t="s">
        <v>94</v>
      </c>
      <c r="E784" s="89">
        <v>1.5266</v>
      </c>
      <c r="F784" s="90">
        <v>45413</v>
      </c>
      <c r="G784" s="90">
        <v>51501</v>
      </c>
    </row>
    <row r="785" spans="1:11" x14ac:dyDescent="0.3">
      <c r="A785" t="s">
        <v>1219</v>
      </c>
      <c r="B785" t="s">
        <v>1219</v>
      </c>
      <c r="C785" t="s">
        <v>95</v>
      </c>
      <c r="D785" t="s">
        <v>96</v>
      </c>
      <c r="E785" s="89">
        <v>13.1723</v>
      </c>
      <c r="F785" s="90">
        <v>45413</v>
      </c>
      <c r="G785" s="90">
        <v>51501</v>
      </c>
    </row>
    <row r="786" spans="1:11" x14ac:dyDescent="0.3">
      <c r="A786" t="s">
        <v>1219</v>
      </c>
      <c r="B786" t="s">
        <v>1219</v>
      </c>
      <c r="C786" t="s">
        <v>97</v>
      </c>
      <c r="D786" t="s">
        <v>98</v>
      </c>
      <c r="E786" s="89">
        <v>24.200500000000002</v>
      </c>
      <c r="F786" s="90">
        <v>45413</v>
      </c>
      <c r="G786" s="90">
        <v>51501</v>
      </c>
    </row>
    <row r="787" spans="1:11" x14ac:dyDescent="0.3">
      <c r="A787" t="s">
        <v>1219</v>
      </c>
      <c r="B787" t="s">
        <v>1219</v>
      </c>
      <c r="C787" s="145" t="s">
        <v>1228</v>
      </c>
      <c r="D787" s="145" t="s">
        <v>1279</v>
      </c>
      <c r="E787" s="146">
        <v>1.0175000000000001</v>
      </c>
      <c r="F787" s="147">
        <v>45413</v>
      </c>
      <c r="G787" s="147">
        <v>51501</v>
      </c>
      <c r="I787" s="4" t="s">
        <v>16</v>
      </c>
      <c r="J787" t="s">
        <v>17</v>
      </c>
      <c r="K787" s="69">
        <v>1.0175000000000001</v>
      </c>
    </row>
    <row r="788" spans="1:11" x14ac:dyDescent="0.3">
      <c r="A788" t="s">
        <v>1219</v>
      </c>
      <c r="B788" t="s">
        <v>1219</v>
      </c>
      <c r="C788" t="s">
        <v>36</v>
      </c>
      <c r="D788" t="s">
        <v>37</v>
      </c>
      <c r="E788" s="89">
        <v>9.8796999999999997</v>
      </c>
      <c r="F788" s="90">
        <v>45413</v>
      </c>
      <c r="G788" s="90">
        <v>51501</v>
      </c>
    </row>
    <row r="789" spans="1:11" x14ac:dyDescent="0.3">
      <c r="A789" t="s">
        <v>1219</v>
      </c>
      <c r="B789" t="s">
        <v>1219</v>
      </c>
      <c r="C789" t="s">
        <v>105</v>
      </c>
      <c r="D789" t="s">
        <v>106</v>
      </c>
      <c r="E789" s="89">
        <v>17.563700000000001</v>
      </c>
      <c r="F789" s="90">
        <v>45413</v>
      </c>
      <c r="G789" s="90">
        <v>51501</v>
      </c>
    </row>
    <row r="790" spans="1:11" x14ac:dyDescent="0.3">
      <c r="A790" t="s">
        <v>1219</v>
      </c>
      <c r="B790" t="s">
        <v>1219</v>
      </c>
      <c r="C790" t="s">
        <v>107</v>
      </c>
      <c r="D790" t="s">
        <v>108</v>
      </c>
      <c r="E790" s="89">
        <v>2.5442</v>
      </c>
      <c r="F790" s="90">
        <v>45413</v>
      </c>
      <c r="G790" s="90">
        <v>51501</v>
      </c>
    </row>
    <row r="791" spans="1:11" x14ac:dyDescent="0.3">
      <c r="A791" t="s">
        <v>1219</v>
      </c>
      <c r="B791" t="s">
        <v>1219</v>
      </c>
      <c r="C791" t="s">
        <v>109</v>
      </c>
      <c r="D791" t="s">
        <v>110</v>
      </c>
      <c r="E791" s="89">
        <v>3.0531000000000001</v>
      </c>
      <c r="F791" s="90">
        <v>45413</v>
      </c>
      <c r="G791" s="90">
        <v>51501</v>
      </c>
    </row>
    <row r="792" spans="1:11" x14ac:dyDescent="0.3">
      <c r="A792" t="s">
        <v>1219</v>
      </c>
      <c r="B792" t="s">
        <v>1219</v>
      </c>
      <c r="C792" t="s">
        <v>111</v>
      </c>
      <c r="D792" t="s">
        <v>112</v>
      </c>
      <c r="E792" s="89">
        <v>5.0891000000000002</v>
      </c>
      <c r="F792" s="90">
        <v>45413</v>
      </c>
      <c r="G792" s="90">
        <v>51501</v>
      </c>
    </row>
    <row r="793" spans="1:11" x14ac:dyDescent="0.3">
      <c r="A793" t="s">
        <v>1219</v>
      </c>
      <c r="B793" t="s">
        <v>1219</v>
      </c>
      <c r="C793" t="s">
        <v>113</v>
      </c>
      <c r="D793" t="s">
        <v>114</v>
      </c>
      <c r="E793" s="89">
        <v>7.2533000000000003</v>
      </c>
      <c r="F793" s="90">
        <v>45413</v>
      </c>
      <c r="G793" s="90">
        <v>51501</v>
      </c>
    </row>
    <row r="794" spans="1:11" x14ac:dyDescent="0.3">
      <c r="A794" t="s">
        <v>1219</v>
      </c>
      <c r="B794" t="s">
        <v>1219</v>
      </c>
      <c r="C794" s="145" t="s">
        <v>1229</v>
      </c>
      <c r="D794" s="145" t="s">
        <v>1280</v>
      </c>
      <c r="E794" s="146">
        <v>1.2723</v>
      </c>
      <c r="F794" s="147">
        <v>45413</v>
      </c>
      <c r="G794" s="147">
        <v>51501</v>
      </c>
      <c r="I794" s="4" t="s">
        <v>18</v>
      </c>
      <c r="J794" t="s">
        <v>19</v>
      </c>
      <c r="K794" s="69">
        <v>1.2723</v>
      </c>
    </row>
    <row r="795" spans="1:11" x14ac:dyDescent="0.3">
      <c r="A795" t="s">
        <v>1219</v>
      </c>
      <c r="B795" t="s">
        <v>1219</v>
      </c>
      <c r="C795" s="145" t="s">
        <v>1230</v>
      </c>
      <c r="D795" s="145" t="s">
        <v>1281</v>
      </c>
      <c r="E795" s="146">
        <v>10.7546</v>
      </c>
      <c r="F795" s="147">
        <v>45413</v>
      </c>
      <c r="G795" s="147">
        <v>51501</v>
      </c>
      <c r="I795" s="4" t="s">
        <v>40</v>
      </c>
      <c r="J795" t="s">
        <v>41</v>
      </c>
      <c r="K795" s="69">
        <v>10.7546</v>
      </c>
    </row>
    <row r="796" spans="1:11" x14ac:dyDescent="0.3">
      <c r="A796" t="s">
        <v>1219</v>
      </c>
      <c r="B796" t="s">
        <v>1219</v>
      </c>
      <c r="C796" t="s">
        <v>84</v>
      </c>
      <c r="D796" t="s">
        <v>85</v>
      </c>
      <c r="E796" s="89">
        <v>87.739699999999999</v>
      </c>
      <c r="F796" s="90">
        <v>45413</v>
      </c>
      <c r="G796" s="90">
        <v>51501</v>
      </c>
    </row>
    <row r="797" spans="1:11" x14ac:dyDescent="0.3">
      <c r="A797" t="s">
        <v>1219</v>
      </c>
      <c r="B797" t="s">
        <v>1219</v>
      </c>
      <c r="C797" t="s">
        <v>117</v>
      </c>
      <c r="D797" t="s">
        <v>118</v>
      </c>
      <c r="E797" s="89">
        <v>6.3613</v>
      </c>
      <c r="F797" s="90">
        <v>45413</v>
      </c>
      <c r="G797" s="90">
        <v>51501</v>
      </c>
    </row>
    <row r="798" spans="1:11" x14ac:dyDescent="0.3">
      <c r="A798" t="s">
        <v>1219</v>
      </c>
      <c r="B798" t="s">
        <v>1219</v>
      </c>
      <c r="C798" t="s">
        <v>42</v>
      </c>
      <c r="D798" t="s">
        <v>43</v>
      </c>
      <c r="E798" s="89">
        <v>13.306800000000001</v>
      </c>
      <c r="F798" s="90">
        <v>45413</v>
      </c>
      <c r="G798" s="90">
        <v>51501</v>
      </c>
    </row>
    <row r="799" spans="1:11" x14ac:dyDescent="0.3">
      <c r="A799" t="s">
        <v>1219</v>
      </c>
      <c r="B799" t="s">
        <v>1219</v>
      </c>
      <c r="C799" t="s">
        <v>123</v>
      </c>
      <c r="D799" t="s">
        <v>124</v>
      </c>
      <c r="E799" s="89">
        <v>4.5797999999999996</v>
      </c>
      <c r="F799" s="90">
        <v>45413</v>
      </c>
      <c r="G799" s="90">
        <v>51501</v>
      </c>
    </row>
    <row r="800" spans="1:11" x14ac:dyDescent="0.3">
      <c r="A800" t="s">
        <v>1219</v>
      </c>
      <c r="B800" t="s">
        <v>1219</v>
      </c>
      <c r="C800" s="145" t="s">
        <v>1231</v>
      </c>
      <c r="D800" s="145" t="s">
        <v>1282</v>
      </c>
      <c r="E800" s="146">
        <v>13.6996</v>
      </c>
      <c r="F800" s="147">
        <v>45413</v>
      </c>
      <c r="G800" s="147">
        <v>51501</v>
      </c>
      <c r="I800" s="4" t="s">
        <v>44</v>
      </c>
      <c r="J800" t="s">
        <v>45</v>
      </c>
      <c r="K800" s="69">
        <v>13.6996</v>
      </c>
    </row>
    <row r="801" spans="1:11" x14ac:dyDescent="0.3">
      <c r="A801" t="s">
        <v>1219</v>
      </c>
      <c r="B801" t="s">
        <v>1219</v>
      </c>
      <c r="C801" s="145" t="s">
        <v>1232</v>
      </c>
      <c r="D801" s="145" t="s">
        <v>1283</v>
      </c>
      <c r="E801" s="146">
        <v>13.893700000000001</v>
      </c>
      <c r="F801" s="147">
        <v>45413</v>
      </c>
      <c r="G801" s="147">
        <v>51501</v>
      </c>
      <c r="I801" s="4" t="s">
        <v>46</v>
      </c>
      <c r="J801" t="s">
        <v>47</v>
      </c>
      <c r="K801" s="69">
        <v>13.893700000000001</v>
      </c>
    </row>
    <row r="802" spans="1:11" x14ac:dyDescent="0.3">
      <c r="A802" t="s">
        <v>1219</v>
      </c>
      <c r="B802" t="s">
        <v>1219</v>
      </c>
      <c r="C802" s="145" t="s">
        <v>1233</v>
      </c>
      <c r="D802" s="145" t="s">
        <v>1284</v>
      </c>
      <c r="E802" s="146">
        <v>14.6782</v>
      </c>
      <c r="F802" s="147">
        <v>45413</v>
      </c>
      <c r="G802" s="147">
        <v>51501</v>
      </c>
      <c r="I802" s="4" t="s">
        <v>52</v>
      </c>
      <c r="J802" t="s">
        <v>53</v>
      </c>
      <c r="K802" s="69">
        <v>14.6782</v>
      </c>
    </row>
    <row r="803" spans="1:11" x14ac:dyDescent="0.3">
      <c r="A803" t="s">
        <v>1219</v>
      </c>
      <c r="B803" t="s">
        <v>1219</v>
      </c>
      <c r="C803" t="s">
        <v>855</v>
      </c>
      <c r="D803" t="s">
        <v>1285</v>
      </c>
      <c r="E803" s="89">
        <v>5.7293000000000003</v>
      </c>
      <c r="F803" s="90">
        <v>45413</v>
      </c>
      <c r="G803" s="90">
        <v>51501</v>
      </c>
    </row>
    <row r="804" spans="1:11" x14ac:dyDescent="0.3">
      <c r="A804" t="s">
        <v>1219</v>
      </c>
      <c r="B804" t="s">
        <v>1219</v>
      </c>
      <c r="C804" t="s">
        <v>258</v>
      </c>
      <c r="D804" t="s">
        <v>259</v>
      </c>
      <c r="E804" s="89">
        <v>0.314</v>
      </c>
      <c r="F804" s="90">
        <v>45413</v>
      </c>
      <c r="G804" s="90">
        <v>51501</v>
      </c>
    </row>
    <row r="805" spans="1:11" x14ac:dyDescent="0.3">
      <c r="A805" t="s">
        <v>1219</v>
      </c>
      <c r="B805" t="s">
        <v>1219</v>
      </c>
      <c r="C805" t="s">
        <v>366</v>
      </c>
      <c r="D805" t="s">
        <v>367</v>
      </c>
      <c r="E805" s="89">
        <v>3.1398000000000001</v>
      </c>
      <c r="F805" s="90">
        <v>45413</v>
      </c>
      <c r="G805" s="90">
        <v>51501</v>
      </c>
    </row>
    <row r="806" spans="1:11" x14ac:dyDescent="0.3">
      <c r="A806" t="s">
        <v>1219</v>
      </c>
      <c r="B806" t="s">
        <v>1219</v>
      </c>
      <c r="C806" t="s">
        <v>849</v>
      </c>
      <c r="D806" t="s">
        <v>850</v>
      </c>
      <c r="E806" s="89">
        <v>21.7044</v>
      </c>
      <c r="F806" s="90">
        <v>45413</v>
      </c>
      <c r="G806" s="90">
        <v>51501</v>
      </c>
    </row>
    <row r="807" spans="1:11" x14ac:dyDescent="0.3">
      <c r="A807" t="s">
        <v>1219</v>
      </c>
      <c r="B807" t="s">
        <v>1219</v>
      </c>
      <c r="C807" t="s">
        <v>368</v>
      </c>
      <c r="D807" t="s">
        <v>369</v>
      </c>
      <c r="E807" s="89">
        <v>3.5792999999999999</v>
      </c>
      <c r="F807" s="90">
        <v>45413</v>
      </c>
      <c r="G807" s="90">
        <v>51501</v>
      </c>
    </row>
    <row r="808" spans="1:11" x14ac:dyDescent="0.3">
      <c r="A808" t="s">
        <v>1219</v>
      </c>
      <c r="B808" t="s">
        <v>1219</v>
      </c>
      <c r="C808" t="s">
        <v>1234</v>
      </c>
      <c r="D808" t="s">
        <v>1286</v>
      </c>
      <c r="E808" s="89">
        <v>1.1697</v>
      </c>
      <c r="F808" s="90">
        <v>45413</v>
      </c>
      <c r="G808" s="90">
        <v>51501</v>
      </c>
    </row>
    <row r="809" spans="1:11" x14ac:dyDescent="0.3">
      <c r="A809" t="s">
        <v>1219</v>
      </c>
      <c r="B809" t="s">
        <v>1219</v>
      </c>
      <c r="C809" t="s">
        <v>336</v>
      </c>
      <c r="D809" t="s">
        <v>337</v>
      </c>
      <c r="E809" s="89">
        <v>6.7129000000000003</v>
      </c>
      <c r="F809" s="90">
        <v>45413</v>
      </c>
      <c r="G809" s="90">
        <v>51501</v>
      </c>
    </row>
    <row r="810" spans="1:11" x14ac:dyDescent="0.3">
      <c r="A810" t="s">
        <v>1219</v>
      </c>
      <c r="B810" t="s">
        <v>1219</v>
      </c>
      <c r="C810" t="s">
        <v>340</v>
      </c>
      <c r="D810" t="s">
        <v>341</v>
      </c>
      <c r="E810" s="89">
        <v>9.5376999999999992</v>
      </c>
      <c r="F810" s="90">
        <v>45413</v>
      </c>
      <c r="G810" s="90">
        <v>51501</v>
      </c>
    </row>
    <row r="811" spans="1:11" x14ac:dyDescent="0.3">
      <c r="A811" t="s">
        <v>1219</v>
      </c>
      <c r="B811" t="s">
        <v>1219</v>
      </c>
      <c r="C811" t="s">
        <v>344</v>
      </c>
      <c r="D811" t="s">
        <v>345</v>
      </c>
      <c r="E811" s="89">
        <v>13.3203</v>
      </c>
      <c r="F811" s="90">
        <v>45413</v>
      </c>
      <c r="G811" s="90">
        <v>51501</v>
      </c>
    </row>
    <row r="812" spans="1:11" x14ac:dyDescent="0.3">
      <c r="A812" t="s">
        <v>1219</v>
      </c>
      <c r="B812" t="s">
        <v>1219</v>
      </c>
      <c r="C812" t="s">
        <v>348</v>
      </c>
      <c r="D812" t="s">
        <v>349</v>
      </c>
      <c r="E812" s="89">
        <v>10.259399999999999</v>
      </c>
      <c r="F812" s="90">
        <v>45413</v>
      </c>
      <c r="G812" s="90">
        <v>51501</v>
      </c>
    </row>
    <row r="813" spans="1:11" x14ac:dyDescent="0.3">
      <c r="A813" t="s">
        <v>1219</v>
      </c>
      <c r="B813" t="s">
        <v>1219</v>
      </c>
      <c r="C813" t="s">
        <v>853</v>
      </c>
      <c r="D813" t="s">
        <v>854</v>
      </c>
      <c r="E813" s="89">
        <v>11.561500000000001</v>
      </c>
      <c r="F813" s="90">
        <v>45413</v>
      </c>
      <c r="G813" s="90">
        <v>51501</v>
      </c>
    </row>
    <row r="814" spans="1:11" x14ac:dyDescent="0.3">
      <c r="A814" t="s">
        <v>1219</v>
      </c>
      <c r="B814" t="s">
        <v>1219</v>
      </c>
      <c r="C814" t="s">
        <v>865</v>
      </c>
      <c r="D814" t="s">
        <v>866</v>
      </c>
      <c r="E814" s="89">
        <v>12.3161</v>
      </c>
      <c r="F814" s="90">
        <v>45413</v>
      </c>
      <c r="G814" s="90">
        <v>51501</v>
      </c>
    </row>
    <row r="815" spans="1:11" x14ac:dyDescent="0.3">
      <c r="A815" t="s">
        <v>1219</v>
      </c>
      <c r="B815" t="s">
        <v>1219</v>
      </c>
      <c r="C815" t="s">
        <v>370</v>
      </c>
      <c r="D815" t="s">
        <v>371</v>
      </c>
      <c r="E815" s="89">
        <v>4.2343000000000002</v>
      </c>
      <c r="F815" s="90">
        <v>45413</v>
      </c>
      <c r="G815" s="90">
        <v>51501</v>
      </c>
    </row>
    <row r="816" spans="1:11" x14ac:dyDescent="0.3">
      <c r="A816" t="s">
        <v>1219</v>
      </c>
      <c r="B816" t="s">
        <v>1219</v>
      </c>
      <c r="C816" t="s">
        <v>869</v>
      </c>
      <c r="D816" t="s">
        <v>870</v>
      </c>
      <c r="E816" s="89">
        <v>12.824199999999999</v>
      </c>
      <c r="F816" s="90">
        <v>45413</v>
      </c>
      <c r="G816" s="90">
        <v>51501</v>
      </c>
    </row>
    <row r="817" spans="1:7" x14ac:dyDescent="0.3">
      <c r="A817" t="s">
        <v>1219</v>
      </c>
      <c r="B817" t="s">
        <v>1219</v>
      </c>
      <c r="C817" t="s">
        <v>372</v>
      </c>
      <c r="D817" t="s">
        <v>373</v>
      </c>
      <c r="E817" s="89">
        <v>4.2199</v>
      </c>
      <c r="F817" s="90">
        <v>45413</v>
      </c>
      <c r="G817" s="90">
        <v>51501</v>
      </c>
    </row>
    <row r="818" spans="1:7" x14ac:dyDescent="0.3">
      <c r="A818" t="s">
        <v>1219</v>
      </c>
      <c r="B818" t="s">
        <v>1219</v>
      </c>
      <c r="C818" t="s">
        <v>262</v>
      </c>
      <c r="D818" t="s">
        <v>263</v>
      </c>
      <c r="E818" s="89">
        <v>0.60860000000000003</v>
      </c>
      <c r="F818" s="90">
        <v>45413</v>
      </c>
      <c r="G818" s="90">
        <v>51501</v>
      </c>
    </row>
    <row r="819" spans="1:7" x14ac:dyDescent="0.3">
      <c r="A819" t="s">
        <v>1219</v>
      </c>
      <c r="B819" t="s">
        <v>1219</v>
      </c>
      <c r="C819" t="s">
        <v>374</v>
      </c>
      <c r="D819" t="s">
        <v>375</v>
      </c>
      <c r="E819" s="89">
        <v>4.3297999999999996</v>
      </c>
      <c r="F819" s="90">
        <v>45413</v>
      </c>
      <c r="G819" s="90">
        <v>51501</v>
      </c>
    </row>
    <row r="820" spans="1:7" x14ac:dyDescent="0.3">
      <c r="A820" t="s">
        <v>1219</v>
      </c>
      <c r="B820" t="s">
        <v>1219</v>
      </c>
      <c r="C820" t="s">
        <v>851</v>
      </c>
      <c r="D820" t="s">
        <v>852</v>
      </c>
      <c r="E820" s="89">
        <v>41.238100000000003</v>
      </c>
      <c r="F820" s="90">
        <v>45413</v>
      </c>
      <c r="G820" s="90">
        <v>51501</v>
      </c>
    </row>
    <row r="821" spans="1:7" x14ac:dyDescent="0.3">
      <c r="A821" t="s">
        <v>1219</v>
      </c>
      <c r="B821" t="s">
        <v>1219</v>
      </c>
      <c r="C821" t="s">
        <v>382</v>
      </c>
      <c r="D821" t="s">
        <v>383</v>
      </c>
      <c r="E821" s="89">
        <v>42.323599999999999</v>
      </c>
      <c r="F821" s="90">
        <v>45413</v>
      </c>
      <c r="G821" s="90">
        <v>51501</v>
      </c>
    </row>
    <row r="822" spans="1:7" x14ac:dyDescent="0.3">
      <c r="A822" t="s">
        <v>1219</v>
      </c>
      <c r="B822" t="s">
        <v>1219</v>
      </c>
      <c r="C822" t="s">
        <v>266</v>
      </c>
      <c r="D822" t="s">
        <v>267</v>
      </c>
      <c r="E822" s="89">
        <v>0.6512</v>
      </c>
      <c r="F822" s="90">
        <v>45413</v>
      </c>
      <c r="G822" s="90">
        <v>51501</v>
      </c>
    </row>
    <row r="823" spans="1:7" x14ac:dyDescent="0.3">
      <c r="A823" t="s">
        <v>1219</v>
      </c>
      <c r="B823" t="s">
        <v>1219</v>
      </c>
      <c r="C823" t="s">
        <v>376</v>
      </c>
      <c r="D823" t="s">
        <v>377</v>
      </c>
      <c r="E823" s="89">
        <v>4.3407999999999998</v>
      </c>
      <c r="F823" s="90">
        <v>45413</v>
      </c>
      <c r="G823" s="90">
        <v>51501</v>
      </c>
    </row>
    <row r="824" spans="1:7" x14ac:dyDescent="0.3">
      <c r="A824" t="s">
        <v>1219</v>
      </c>
      <c r="B824" t="s">
        <v>1219</v>
      </c>
      <c r="C824" t="s">
        <v>384</v>
      </c>
      <c r="D824" t="s">
        <v>385</v>
      </c>
      <c r="E824" s="89">
        <v>43.409199999999998</v>
      </c>
      <c r="F824" s="90">
        <v>45413</v>
      </c>
      <c r="G824" s="90">
        <v>51501</v>
      </c>
    </row>
    <row r="825" spans="1:7" x14ac:dyDescent="0.3">
      <c r="A825" t="s">
        <v>1219</v>
      </c>
      <c r="B825" t="s">
        <v>1219</v>
      </c>
      <c r="C825" t="s">
        <v>270</v>
      </c>
      <c r="D825" t="s">
        <v>271</v>
      </c>
      <c r="E825" s="89">
        <v>0.77100000000000002</v>
      </c>
      <c r="F825" s="90">
        <v>45413</v>
      </c>
      <c r="G825" s="90">
        <v>51501</v>
      </c>
    </row>
    <row r="826" spans="1:7" x14ac:dyDescent="0.3">
      <c r="A826" t="s">
        <v>1219</v>
      </c>
      <c r="B826" t="s">
        <v>1219</v>
      </c>
      <c r="C826" t="s">
        <v>352</v>
      </c>
      <c r="D826" t="s">
        <v>353</v>
      </c>
      <c r="E826" s="89">
        <v>19.0731</v>
      </c>
      <c r="F826" s="90">
        <v>45413</v>
      </c>
      <c r="G826" s="90">
        <v>51501</v>
      </c>
    </row>
    <row r="827" spans="1:7" x14ac:dyDescent="0.3">
      <c r="A827" t="s">
        <v>1219</v>
      </c>
      <c r="B827" t="s">
        <v>1219</v>
      </c>
      <c r="C827" t="s">
        <v>871</v>
      </c>
      <c r="D827" t="s">
        <v>872</v>
      </c>
      <c r="E827" s="89">
        <v>19.7088</v>
      </c>
      <c r="F827" s="90">
        <v>45413</v>
      </c>
      <c r="G827" s="90">
        <v>51501</v>
      </c>
    </row>
    <row r="828" spans="1:7" x14ac:dyDescent="0.3">
      <c r="A828" t="s">
        <v>1219</v>
      </c>
      <c r="B828" t="s">
        <v>1219</v>
      </c>
      <c r="C828" t="s">
        <v>356</v>
      </c>
      <c r="D828" t="s">
        <v>357</v>
      </c>
      <c r="E828" s="89">
        <v>20.5184</v>
      </c>
      <c r="F828" s="90">
        <v>45413</v>
      </c>
      <c r="G828" s="90">
        <v>51501</v>
      </c>
    </row>
    <row r="829" spans="1:7" x14ac:dyDescent="0.3">
      <c r="A829" t="s">
        <v>1219</v>
      </c>
      <c r="B829" t="s">
        <v>1219</v>
      </c>
      <c r="C829" t="s">
        <v>360</v>
      </c>
      <c r="D829" t="s">
        <v>361</v>
      </c>
      <c r="E829" s="89">
        <v>23.119399999999999</v>
      </c>
      <c r="F829" s="90">
        <v>45413</v>
      </c>
      <c r="G829" s="90">
        <v>51501</v>
      </c>
    </row>
    <row r="830" spans="1:7" x14ac:dyDescent="0.3">
      <c r="A830" t="s">
        <v>1219</v>
      </c>
      <c r="B830" t="s">
        <v>1219</v>
      </c>
      <c r="C830" t="s">
        <v>867</v>
      </c>
      <c r="D830" t="s">
        <v>868</v>
      </c>
      <c r="E830" s="89">
        <v>24.632200000000001</v>
      </c>
      <c r="F830" s="90">
        <v>45413</v>
      </c>
      <c r="G830" s="90">
        <v>51501</v>
      </c>
    </row>
    <row r="831" spans="1:7" x14ac:dyDescent="0.3">
      <c r="A831" t="s">
        <v>1219</v>
      </c>
      <c r="B831" t="s">
        <v>1219</v>
      </c>
      <c r="C831" t="s">
        <v>274</v>
      </c>
      <c r="D831" t="s">
        <v>275</v>
      </c>
      <c r="E831" s="89">
        <v>0.81359999999999999</v>
      </c>
      <c r="F831" s="90">
        <v>45413</v>
      </c>
      <c r="G831" s="90">
        <v>51501</v>
      </c>
    </row>
    <row r="832" spans="1:7" x14ac:dyDescent="0.3">
      <c r="A832" t="s">
        <v>1219</v>
      </c>
      <c r="B832" t="s">
        <v>1219</v>
      </c>
      <c r="C832" t="s">
        <v>386</v>
      </c>
      <c r="D832" t="s">
        <v>387</v>
      </c>
      <c r="E832" s="89">
        <v>54.259700000000002</v>
      </c>
      <c r="F832" s="90">
        <v>45413</v>
      </c>
      <c r="G832" s="90">
        <v>51501</v>
      </c>
    </row>
    <row r="833" spans="1:7" x14ac:dyDescent="0.3">
      <c r="A833" t="s">
        <v>1219</v>
      </c>
      <c r="B833" t="s">
        <v>1219</v>
      </c>
      <c r="C833" t="s">
        <v>1235</v>
      </c>
      <c r="D833" t="s">
        <v>1287</v>
      </c>
      <c r="E833" s="89">
        <v>0.82979999999999998</v>
      </c>
      <c r="F833" s="90">
        <v>45413</v>
      </c>
      <c r="G833" s="90">
        <v>51501</v>
      </c>
    </row>
    <row r="834" spans="1:7" x14ac:dyDescent="0.3">
      <c r="A834" t="s">
        <v>1219</v>
      </c>
      <c r="B834" t="s">
        <v>1219</v>
      </c>
      <c r="C834" t="s">
        <v>278</v>
      </c>
      <c r="D834" t="s">
        <v>279</v>
      </c>
      <c r="E834" s="89">
        <v>0.87890000000000001</v>
      </c>
      <c r="F834" s="90">
        <v>45413</v>
      </c>
      <c r="G834" s="90">
        <v>51501</v>
      </c>
    </row>
    <row r="835" spans="1:7" x14ac:dyDescent="0.3">
      <c r="A835" t="s">
        <v>1219</v>
      </c>
      <c r="B835" t="s">
        <v>1219</v>
      </c>
      <c r="C835" t="s">
        <v>282</v>
      </c>
      <c r="D835" t="s">
        <v>283</v>
      </c>
      <c r="E835" s="89">
        <v>0.89510000000000001</v>
      </c>
      <c r="F835" s="90">
        <v>45413</v>
      </c>
      <c r="G835" s="90">
        <v>51501</v>
      </c>
    </row>
    <row r="836" spans="1:7" x14ac:dyDescent="0.3">
      <c r="A836" t="s">
        <v>1219</v>
      </c>
      <c r="B836" t="s">
        <v>1219</v>
      </c>
      <c r="C836" t="s">
        <v>847</v>
      </c>
      <c r="D836" t="s">
        <v>848</v>
      </c>
      <c r="E836" s="89">
        <v>63.659500000000001</v>
      </c>
      <c r="F836" s="90">
        <v>45413</v>
      </c>
      <c r="G836" s="90">
        <v>51501</v>
      </c>
    </row>
    <row r="837" spans="1:7" x14ac:dyDescent="0.3">
      <c r="A837" t="s">
        <v>1219</v>
      </c>
      <c r="B837" t="s">
        <v>1219</v>
      </c>
      <c r="C837" t="s">
        <v>286</v>
      </c>
      <c r="D837" t="s">
        <v>287</v>
      </c>
      <c r="E837" s="89">
        <v>0.91830000000000001</v>
      </c>
      <c r="F837" s="90">
        <v>45413</v>
      </c>
      <c r="G837" s="90">
        <v>51501</v>
      </c>
    </row>
    <row r="838" spans="1:7" x14ac:dyDescent="0.3">
      <c r="A838" t="s">
        <v>1219</v>
      </c>
      <c r="B838" t="s">
        <v>1219</v>
      </c>
      <c r="C838" t="s">
        <v>256</v>
      </c>
      <c r="D838" t="s">
        <v>257</v>
      </c>
      <c r="E838" s="89">
        <v>1.7901</v>
      </c>
      <c r="F838" s="90">
        <v>45413</v>
      </c>
      <c r="G838" s="90">
        <v>51501</v>
      </c>
    </row>
    <row r="839" spans="1:7" x14ac:dyDescent="0.3">
      <c r="A839" t="s">
        <v>1219</v>
      </c>
      <c r="B839" t="s">
        <v>1219</v>
      </c>
      <c r="C839" t="s">
        <v>290</v>
      </c>
      <c r="D839" t="s">
        <v>291</v>
      </c>
      <c r="E839" s="89">
        <v>0.93049999999999999</v>
      </c>
      <c r="F839" s="90">
        <v>45413</v>
      </c>
      <c r="G839" s="90">
        <v>51501</v>
      </c>
    </row>
    <row r="840" spans="1:7" x14ac:dyDescent="0.3">
      <c r="A840" t="s">
        <v>1219</v>
      </c>
      <c r="B840" t="s">
        <v>1219</v>
      </c>
      <c r="C840" t="s">
        <v>378</v>
      </c>
      <c r="D840" t="s">
        <v>379</v>
      </c>
      <c r="E840" s="89">
        <v>6.5114000000000001</v>
      </c>
      <c r="F840" s="90">
        <v>45413</v>
      </c>
      <c r="G840" s="90">
        <v>51501</v>
      </c>
    </row>
    <row r="841" spans="1:7" x14ac:dyDescent="0.3">
      <c r="A841" t="s">
        <v>1219</v>
      </c>
      <c r="B841" t="s">
        <v>1219</v>
      </c>
      <c r="C841" t="s">
        <v>388</v>
      </c>
      <c r="D841" t="s">
        <v>389</v>
      </c>
      <c r="E841" s="89">
        <v>65.113799999999998</v>
      </c>
      <c r="F841" s="90">
        <v>45413</v>
      </c>
      <c r="G841" s="90">
        <v>51501</v>
      </c>
    </row>
    <row r="842" spans="1:7" x14ac:dyDescent="0.3">
      <c r="A842" t="s">
        <v>1219</v>
      </c>
      <c r="B842" t="s">
        <v>1219</v>
      </c>
      <c r="C842" t="s">
        <v>1236</v>
      </c>
      <c r="D842" t="s">
        <v>1288</v>
      </c>
      <c r="E842" s="89">
        <v>25.648399999999999</v>
      </c>
      <c r="F842" s="90">
        <v>45413</v>
      </c>
      <c r="G842" s="90">
        <v>51501</v>
      </c>
    </row>
    <row r="843" spans="1:7" x14ac:dyDescent="0.3">
      <c r="A843" t="s">
        <v>1219</v>
      </c>
      <c r="B843" t="s">
        <v>1219</v>
      </c>
      <c r="C843" t="s">
        <v>294</v>
      </c>
      <c r="D843" t="s">
        <v>295</v>
      </c>
      <c r="E843" s="89">
        <v>1.0744</v>
      </c>
      <c r="F843" s="90">
        <v>45413</v>
      </c>
      <c r="G843" s="90">
        <v>51501</v>
      </c>
    </row>
    <row r="844" spans="1:7" x14ac:dyDescent="0.3">
      <c r="A844" t="s">
        <v>1219</v>
      </c>
      <c r="B844" t="s">
        <v>1219</v>
      </c>
      <c r="C844" t="s">
        <v>298</v>
      </c>
      <c r="D844" t="s">
        <v>299</v>
      </c>
      <c r="E844" s="89">
        <v>1.0837000000000001</v>
      </c>
      <c r="F844" s="90">
        <v>45413</v>
      </c>
      <c r="G844" s="90">
        <v>51501</v>
      </c>
    </row>
    <row r="845" spans="1:7" x14ac:dyDescent="0.3">
      <c r="A845" t="s">
        <v>1219</v>
      </c>
      <c r="B845" t="s">
        <v>1219</v>
      </c>
      <c r="C845" t="s">
        <v>302</v>
      </c>
      <c r="D845" t="s">
        <v>303</v>
      </c>
      <c r="E845" s="89">
        <v>1.1100000000000001</v>
      </c>
      <c r="F845" s="90">
        <v>45413</v>
      </c>
      <c r="G845" s="90">
        <v>51501</v>
      </c>
    </row>
    <row r="846" spans="1:7" x14ac:dyDescent="0.3">
      <c r="A846" t="s">
        <v>1219</v>
      </c>
      <c r="B846" t="s">
        <v>1219</v>
      </c>
      <c r="C846" t="s">
        <v>306</v>
      </c>
      <c r="D846" t="s">
        <v>307</v>
      </c>
      <c r="E846" s="89">
        <v>1.1557999999999999</v>
      </c>
      <c r="F846" s="90">
        <v>45413</v>
      </c>
      <c r="G846" s="90">
        <v>51501</v>
      </c>
    </row>
    <row r="847" spans="1:7" x14ac:dyDescent="0.3">
      <c r="A847" t="s">
        <v>1219</v>
      </c>
      <c r="B847" t="s">
        <v>1219</v>
      </c>
      <c r="C847" t="s">
        <v>310</v>
      </c>
      <c r="D847" t="s">
        <v>311</v>
      </c>
      <c r="E847" s="89">
        <v>1.1719999999999999</v>
      </c>
      <c r="F847" s="90">
        <v>45413</v>
      </c>
      <c r="G847" s="90">
        <v>51501</v>
      </c>
    </row>
    <row r="848" spans="1:7" x14ac:dyDescent="0.3">
      <c r="A848" t="s">
        <v>1219</v>
      </c>
      <c r="B848" t="s">
        <v>1219</v>
      </c>
      <c r="C848" t="s">
        <v>845</v>
      </c>
      <c r="D848" t="s">
        <v>846</v>
      </c>
      <c r="E848" s="89">
        <v>1.2051000000000001</v>
      </c>
      <c r="F848" s="90">
        <v>45413</v>
      </c>
      <c r="G848" s="90">
        <v>51501</v>
      </c>
    </row>
    <row r="849" spans="1:7" x14ac:dyDescent="0.3">
      <c r="A849" t="s">
        <v>1219</v>
      </c>
      <c r="B849" t="s">
        <v>1219</v>
      </c>
      <c r="C849" t="s">
        <v>314</v>
      </c>
      <c r="D849" t="s">
        <v>315</v>
      </c>
      <c r="E849" s="89">
        <v>1.2213000000000001</v>
      </c>
      <c r="F849" s="90">
        <v>45413</v>
      </c>
      <c r="G849" s="90">
        <v>51501</v>
      </c>
    </row>
    <row r="850" spans="1:7" x14ac:dyDescent="0.3">
      <c r="A850" t="s">
        <v>1219</v>
      </c>
      <c r="B850" t="s">
        <v>1219</v>
      </c>
      <c r="C850" t="s">
        <v>1237</v>
      </c>
      <c r="D850" t="s">
        <v>1289</v>
      </c>
      <c r="E850" s="89">
        <v>1.2616000000000001</v>
      </c>
      <c r="F850" s="90">
        <v>45408</v>
      </c>
      <c r="G850" s="90">
        <v>51501</v>
      </c>
    </row>
    <row r="851" spans="1:7" x14ac:dyDescent="0.3">
      <c r="A851" t="s">
        <v>1219</v>
      </c>
      <c r="B851" t="s">
        <v>1219</v>
      </c>
      <c r="C851" t="s">
        <v>1238</v>
      </c>
      <c r="D851" t="s">
        <v>1290</v>
      </c>
      <c r="E851" s="89">
        <v>3.5322</v>
      </c>
      <c r="F851" s="90">
        <v>45413</v>
      </c>
      <c r="G851" s="90">
        <v>51501</v>
      </c>
    </row>
    <row r="852" spans="1:7" x14ac:dyDescent="0.3">
      <c r="A852" t="s">
        <v>1219</v>
      </c>
      <c r="B852" t="s">
        <v>1219</v>
      </c>
      <c r="C852" t="s">
        <v>318</v>
      </c>
      <c r="D852" t="s">
        <v>319</v>
      </c>
      <c r="E852" s="89">
        <v>1.3019000000000001</v>
      </c>
      <c r="F852" s="90">
        <v>45413</v>
      </c>
      <c r="G852" s="90">
        <v>51501</v>
      </c>
    </row>
    <row r="853" spans="1:7" x14ac:dyDescent="0.3">
      <c r="A853" t="s">
        <v>1219</v>
      </c>
      <c r="B853" t="s">
        <v>1219</v>
      </c>
      <c r="C853" t="s">
        <v>380</v>
      </c>
      <c r="D853" t="s">
        <v>381</v>
      </c>
      <c r="E853" s="89">
        <v>8.6818000000000008</v>
      </c>
      <c r="F853" s="90">
        <v>45413</v>
      </c>
      <c r="G853" s="90">
        <v>51501</v>
      </c>
    </row>
    <row r="854" spans="1:7" x14ac:dyDescent="0.3">
      <c r="A854" t="s">
        <v>1219</v>
      </c>
      <c r="B854" t="s">
        <v>1219</v>
      </c>
      <c r="C854" t="s">
        <v>322</v>
      </c>
      <c r="D854" t="s">
        <v>323</v>
      </c>
      <c r="E854" s="89">
        <v>1.4323999999999999</v>
      </c>
      <c r="F854" s="90">
        <v>45413</v>
      </c>
      <c r="G854" s="90">
        <v>51501</v>
      </c>
    </row>
    <row r="855" spans="1:7" x14ac:dyDescent="0.3">
      <c r="A855" t="s">
        <v>1219</v>
      </c>
      <c r="B855" t="s">
        <v>1219</v>
      </c>
      <c r="C855" t="s">
        <v>326</v>
      </c>
      <c r="D855" t="s">
        <v>327</v>
      </c>
      <c r="E855" s="89">
        <v>1.4916</v>
      </c>
      <c r="F855" s="90">
        <v>45413</v>
      </c>
      <c r="G855" s="90">
        <v>51501</v>
      </c>
    </row>
    <row r="856" spans="1:7" x14ac:dyDescent="0.3">
      <c r="A856" t="s">
        <v>1219</v>
      </c>
      <c r="B856" t="s">
        <v>1219</v>
      </c>
      <c r="C856" t="s">
        <v>330</v>
      </c>
      <c r="D856" t="s">
        <v>331</v>
      </c>
      <c r="E856" s="89">
        <v>1.5405</v>
      </c>
      <c r="F856" s="90">
        <v>45413</v>
      </c>
      <c r="G856" s="90">
        <v>51501</v>
      </c>
    </row>
    <row r="857" spans="1:7" x14ac:dyDescent="0.3">
      <c r="A857" t="s">
        <v>1219</v>
      </c>
      <c r="B857" t="s">
        <v>1219</v>
      </c>
      <c r="C857" t="s">
        <v>857</v>
      </c>
      <c r="D857" t="s">
        <v>858</v>
      </c>
      <c r="E857" s="89">
        <v>1.8835999999999999</v>
      </c>
      <c r="F857" s="90">
        <v>45413</v>
      </c>
      <c r="G857" s="90">
        <v>51501</v>
      </c>
    </row>
    <row r="858" spans="1:7" x14ac:dyDescent="0.3">
      <c r="A858" t="s">
        <v>1219</v>
      </c>
      <c r="B858" t="s">
        <v>1219</v>
      </c>
      <c r="C858" t="s">
        <v>260</v>
      </c>
      <c r="D858" t="s">
        <v>261</v>
      </c>
      <c r="E858" s="89">
        <v>3.2544</v>
      </c>
      <c r="F858" s="90">
        <v>45413</v>
      </c>
      <c r="G858" s="90">
        <v>51501</v>
      </c>
    </row>
    <row r="859" spans="1:7" x14ac:dyDescent="0.3">
      <c r="A859" t="s">
        <v>1219</v>
      </c>
      <c r="B859" t="s">
        <v>1219</v>
      </c>
      <c r="C859" t="s">
        <v>859</v>
      </c>
      <c r="D859" t="s">
        <v>860</v>
      </c>
      <c r="E859" s="89">
        <v>3.5154999999999998</v>
      </c>
      <c r="F859" s="90">
        <v>45413</v>
      </c>
      <c r="G859" s="90">
        <v>51501</v>
      </c>
    </row>
    <row r="860" spans="1:7" x14ac:dyDescent="0.3">
      <c r="A860" t="s">
        <v>1219</v>
      </c>
      <c r="B860" t="s">
        <v>1219</v>
      </c>
      <c r="C860" t="s">
        <v>264</v>
      </c>
      <c r="D860" t="s">
        <v>265</v>
      </c>
      <c r="E860" s="89">
        <v>3.5806</v>
      </c>
      <c r="F860" s="90">
        <v>45413</v>
      </c>
      <c r="G860" s="90">
        <v>51501</v>
      </c>
    </row>
    <row r="861" spans="1:7" x14ac:dyDescent="0.3">
      <c r="A861" t="s">
        <v>1219</v>
      </c>
      <c r="B861" t="s">
        <v>1219</v>
      </c>
      <c r="C861" t="s">
        <v>268</v>
      </c>
      <c r="D861" t="s">
        <v>269</v>
      </c>
      <c r="E861" s="89">
        <v>3.907</v>
      </c>
      <c r="F861" s="90">
        <v>45413</v>
      </c>
      <c r="G861" s="90">
        <v>51501</v>
      </c>
    </row>
    <row r="862" spans="1:7" x14ac:dyDescent="0.3">
      <c r="A862" t="s">
        <v>1219</v>
      </c>
      <c r="B862" t="s">
        <v>1219</v>
      </c>
      <c r="C862" t="s">
        <v>272</v>
      </c>
      <c r="D862" t="s">
        <v>273</v>
      </c>
      <c r="E862" s="89">
        <v>3.7258</v>
      </c>
      <c r="F862" s="90">
        <v>45413</v>
      </c>
      <c r="G862" s="90">
        <v>51501</v>
      </c>
    </row>
    <row r="863" spans="1:7" x14ac:dyDescent="0.3">
      <c r="A863" t="s">
        <v>1219</v>
      </c>
      <c r="B863" t="s">
        <v>1219</v>
      </c>
      <c r="C863" t="s">
        <v>276</v>
      </c>
      <c r="D863" t="s">
        <v>277</v>
      </c>
      <c r="E863" s="89">
        <v>3.7601</v>
      </c>
      <c r="F863" s="90">
        <v>45413</v>
      </c>
      <c r="G863" s="90">
        <v>51501</v>
      </c>
    </row>
    <row r="864" spans="1:7" x14ac:dyDescent="0.3">
      <c r="A864" t="s">
        <v>1219</v>
      </c>
      <c r="B864" t="s">
        <v>1219</v>
      </c>
      <c r="C864" t="s">
        <v>280</v>
      </c>
      <c r="D864" t="s">
        <v>281</v>
      </c>
      <c r="E864" s="89">
        <v>3.8393000000000002</v>
      </c>
      <c r="F864" s="90">
        <v>45413</v>
      </c>
      <c r="G864" s="90">
        <v>51501</v>
      </c>
    </row>
    <row r="865" spans="1:7" x14ac:dyDescent="0.3">
      <c r="A865" t="s">
        <v>1219</v>
      </c>
      <c r="B865" t="s">
        <v>1219</v>
      </c>
      <c r="C865" t="s">
        <v>284</v>
      </c>
      <c r="D865" t="s">
        <v>285</v>
      </c>
      <c r="E865" s="89">
        <v>3.8498999999999999</v>
      </c>
      <c r="F865" s="90">
        <v>45413</v>
      </c>
      <c r="G865" s="90">
        <v>51501</v>
      </c>
    </row>
    <row r="866" spans="1:7" x14ac:dyDescent="0.3">
      <c r="A866" t="s">
        <v>1219</v>
      </c>
      <c r="B866" t="s">
        <v>1219</v>
      </c>
      <c r="C866" t="s">
        <v>288</v>
      </c>
      <c r="D866" t="s">
        <v>289</v>
      </c>
      <c r="E866" s="89">
        <v>4.008</v>
      </c>
      <c r="F866" s="90">
        <v>45413</v>
      </c>
      <c r="G866" s="90">
        <v>51501</v>
      </c>
    </row>
    <row r="867" spans="1:7" x14ac:dyDescent="0.3">
      <c r="A867" t="s">
        <v>1219</v>
      </c>
      <c r="B867" t="s">
        <v>1219</v>
      </c>
      <c r="C867" t="s">
        <v>292</v>
      </c>
      <c r="D867" t="s">
        <v>293</v>
      </c>
      <c r="E867" s="89">
        <v>5.2961999999999998</v>
      </c>
      <c r="F867" s="90">
        <v>45413</v>
      </c>
      <c r="G867" s="90">
        <v>51501</v>
      </c>
    </row>
    <row r="868" spans="1:7" x14ac:dyDescent="0.3">
      <c r="A868" t="s">
        <v>1219</v>
      </c>
      <c r="B868" t="s">
        <v>1219</v>
      </c>
      <c r="C868" t="s">
        <v>296</v>
      </c>
      <c r="D868" t="s">
        <v>297</v>
      </c>
      <c r="E868" s="89">
        <v>4.1054000000000004</v>
      </c>
      <c r="F868" s="90">
        <v>45413</v>
      </c>
      <c r="G868" s="90">
        <v>51501</v>
      </c>
    </row>
    <row r="869" spans="1:7" x14ac:dyDescent="0.3">
      <c r="A869" t="s">
        <v>1219</v>
      </c>
      <c r="B869" t="s">
        <v>1219</v>
      </c>
      <c r="C869" t="s">
        <v>300</v>
      </c>
      <c r="D869" t="s">
        <v>301</v>
      </c>
      <c r="E869" s="89">
        <v>5.0370999999999997</v>
      </c>
      <c r="F869" s="90">
        <v>45413</v>
      </c>
      <c r="G869" s="90">
        <v>51501</v>
      </c>
    </row>
    <row r="870" spans="1:7" x14ac:dyDescent="0.3">
      <c r="A870" t="s">
        <v>1219</v>
      </c>
      <c r="B870" t="s">
        <v>1219</v>
      </c>
      <c r="C870" t="s">
        <v>254</v>
      </c>
      <c r="D870" t="s">
        <v>255</v>
      </c>
      <c r="E870" s="89">
        <v>0.16270000000000001</v>
      </c>
      <c r="F870" s="90">
        <v>45413</v>
      </c>
      <c r="G870" s="90">
        <v>51501</v>
      </c>
    </row>
    <row r="871" spans="1:7" x14ac:dyDescent="0.3">
      <c r="A871" t="s">
        <v>1219</v>
      </c>
      <c r="B871" t="s">
        <v>1219</v>
      </c>
      <c r="C871" t="s">
        <v>334</v>
      </c>
      <c r="D871" t="s">
        <v>335</v>
      </c>
      <c r="E871" s="89">
        <v>1.5698000000000001</v>
      </c>
      <c r="F871" s="90">
        <v>45413</v>
      </c>
      <c r="G871" s="90">
        <v>51501</v>
      </c>
    </row>
    <row r="872" spans="1:7" x14ac:dyDescent="0.3">
      <c r="A872" t="s">
        <v>1219</v>
      </c>
      <c r="B872" t="s">
        <v>1219</v>
      </c>
      <c r="C872" t="s">
        <v>1239</v>
      </c>
      <c r="D872" t="s">
        <v>1291</v>
      </c>
      <c r="E872" s="89">
        <v>10.8521</v>
      </c>
      <c r="F872" s="90">
        <v>45413</v>
      </c>
      <c r="G872" s="90">
        <v>51501</v>
      </c>
    </row>
    <row r="873" spans="1:7" x14ac:dyDescent="0.3">
      <c r="A873" t="s">
        <v>1219</v>
      </c>
      <c r="B873" t="s">
        <v>1219</v>
      </c>
      <c r="C873" t="s">
        <v>390</v>
      </c>
      <c r="D873" t="s">
        <v>391</v>
      </c>
      <c r="E873" s="89">
        <v>108.53440000000001</v>
      </c>
      <c r="F873" s="90">
        <v>45413</v>
      </c>
      <c r="G873" s="90">
        <v>51501</v>
      </c>
    </row>
    <row r="874" spans="1:7" x14ac:dyDescent="0.3">
      <c r="A874" t="s">
        <v>1219</v>
      </c>
      <c r="B874" t="s">
        <v>1219</v>
      </c>
      <c r="C874" t="s">
        <v>392</v>
      </c>
      <c r="D874" t="s">
        <v>393</v>
      </c>
      <c r="E874" s="89">
        <v>122.80459999999999</v>
      </c>
      <c r="F874" s="90">
        <v>45413</v>
      </c>
      <c r="G874" s="90">
        <v>51501</v>
      </c>
    </row>
    <row r="875" spans="1:7" x14ac:dyDescent="0.3">
      <c r="A875" t="s">
        <v>1219</v>
      </c>
      <c r="B875" t="s">
        <v>1219</v>
      </c>
      <c r="C875" t="s">
        <v>394</v>
      </c>
      <c r="D875" t="s">
        <v>395</v>
      </c>
      <c r="E875" s="89">
        <v>123.0141</v>
      </c>
      <c r="F875" s="90">
        <v>45413</v>
      </c>
      <c r="G875" s="90">
        <v>51501</v>
      </c>
    </row>
    <row r="876" spans="1:7" x14ac:dyDescent="0.3">
      <c r="A876" t="s">
        <v>1219</v>
      </c>
      <c r="B876" t="s">
        <v>1219</v>
      </c>
      <c r="C876" t="s">
        <v>1240</v>
      </c>
      <c r="D876" t="s">
        <v>1292</v>
      </c>
      <c r="E876" s="89">
        <v>13.022600000000001</v>
      </c>
      <c r="F876" s="90">
        <v>45413</v>
      </c>
      <c r="G876" s="90">
        <v>51501</v>
      </c>
    </row>
    <row r="877" spans="1:7" x14ac:dyDescent="0.3">
      <c r="A877" t="s">
        <v>1219</v>
      </c>
      <c r="B877" t="s">
        <v>1219</v>
      </c>
      <c r="C877" t="s">
        <v>338</v>
      </c>
      <c r="D877" t="s">
        <v>339</v>
      </c>
      <c r="E877" s="89">
        <v>2.0407999999999999</v>
      </c>
      <c r="F877" s="90">
        <v>45413</v>
      </c>
      <c r="G877" s="90">
        <v>51501</v>
      </c>
    </row>
    <row r="878" spans="1:7" x14ac:dyDescent="0.3">
      <c r="A878" t="s">
        <v>1219</v>
      </c>
      <c r="B878" t="s">
        <v>1219</v>
      </c>
      <c r="C878" t="s">
        <v>342</v>
      </c>
      <c r="D878" t="s">
        <v>343</v>
      </c>
      <c r="E878" s="89">
        <v>2.1476999999999999</v>
      </c>
      <c r="F878" s="90">
        <v>45413</v>
      </c>
      <c r="G878" s="90">
        <v>51501</v>
      </c>
    </row>
    <row r="879" spans="1:7" x14ac:dyDescent="0.3">
      <c r="A879" t="s">
        <v>1219</v>
      </c>
      <c r="B879" t="s">
        <v>1219</v>
      </c>
      <c r="C879" t="s">
        <v>304</v>
      </c>
      <c r="D879" t="s">
        <v>305</v>
      </c>
      <c r="E879" s="89">
        <v>4.2973999999999997</v>
      </c>
      <c r="F879" s="90">
        <v>45413</v>
      </c>
      <c r="G879" s="90">
        <v>51501</v>
      </c>
    </row>
    <row r="880" spans="1:7" x14ac:dyDescent="0.3">
      <c r="A880" t="s">
        <v>1219</v>
      </c>
      <c r="B880" t="s">
        <v>1219</v>
      </c>
      <c r="C880" t="s">
        <v>308</v>
      </c>
      <c r="D880" t="s">
        <v>309</v>
      </c>
      <c r="E880" s="89">
        <v>4.9275000000000002</v>
      </c>
      <c r="F880" s="90">
        <v>45413</v>
      </c>
      <c r="G880" s="90">
        <v>51501</v>
      </c>
    </row>
    <row r="881" spans="1:7" x14ac:dyDescent="0.3">
      <c r="A881" t="s">
        <v>1219</v>
      </c>
      <c r="B881" t="s">
        <v>1219</v>
      </c>
      <c r="C881" t="s">
        <v>312</v>
      </c>
      <c r="D881" t="s">
        <v>313</v>
      </c>
      <c r="E881" s="89">
        <v>5.1295999999999999</v>
      </c>
      <c r="F881" s="90">
        <v>45413</v>
      </c>
      <c r="G881" s="90">
        <v>51501</v>
      </c>
    </row>
    <row r="882" spans="1:7" x14ac:dyDescent="0.3">
      <c r="A882" t="s">
        <v>1219</v>
      </c>
      <c r="B882" t="s">
        <v>1219</v>
      </c>
      <c r="C882" t="s">
        <v>863</v>
      </c>
      <c r="D882" t="s">
        <v>864</v>
      </c>
      <c r="E882" s="89">
        <v>6.1580000000000004</v>
      </c>
      <c r="F882" s="90">
        <v>45413</v>
      </c>
      <c r="G882" s="90">
        <v>51501</v>
      </c>
    </row>
    <row r="883" spans="1:7" x14ac:dyDescent="0.3">
      <c r="A883" t="s">
        <v>1219</v>
      </c>
      <c r="B883" t="s">
        <v>1219</v>
      </c>
      <c r="C883" t="s">
        <v>346</v>
      </c>
      <c r="D883" t="s">
        <v>347</v>
      </c>
      <c r="E883" s="89">
        <v>2.1979000000000002</v>
      </c>
      <c r="F883" s="90">
        <v>45413</v>
      </c>
      <c r="G883" s="90">
        <v>51501</v>
      </c>
    </row>
    <row r="884" spans="1:7" x14ac:dyDescent="0.3">
      <c r="A884" t="s">
        <v>1219</v>
      </c>
      <c r="B884" t="s">
        <v>1219</v>
      </c>
      <c r="C884" t="s">
        <v>350</v>
      </c>
      <c r="D884" t="s">
        <v>351</v>
      </c>
      <c r="E884" s="89">
        <v>2.218</v>
      </c>
      <c r="F884" s="90">
        <v>45413</v>
      </c>
      <c r="G884" s="90">
        <v>51501</v>
      </c>
    </row>
    <row r="885" spans="1:7" x14ac:dyDescent="0.3">
      <c r="A885" t="s">
        <v>1219</v>
      </c>
      <c r="B885" t="s">
        <v>1219</v>
      </c>
      <c r="C885" t="s">
        <v>354</v>
      </c>
      <c r="D885" t="s">
        <v>355</v>
      </c>
      <c r="E885" s="89">
        <v>2.2597</v>
      </c>
      <c r="F885" s="90">
        <v>45413</v>
      </c>
      <c r="G885" s="90">
        <v>51501</v>
      </c>
    </row>
    <row r="886" spans="1:7" x14ac:dyDescent="0.3">
      <c r="A886" t="s">
        <v>1219</v>
      </c>
      <c r="B886" t="s">
        <v>1219</v>
      </c>
      <c r="C886" t="s">
        <v>358</v>
      </c>
      <c r="D886" t="s">
        <v>359</v>
      </c>
      <c r="E886" s="89">
        <v>2.3548</v>
      </c>
      <c r="F886" s="90">
        <v>45413</v>
      </c>
      <c r="G886" s="90">
        <v>51501</v>
      </c>
    </row>
    <row r="887" spans="1:7" x14ac:dyDescent="0.3">
      <c r="A887" t="s">
        <v>1219</v>
      </c>
      <c r="B887" t="s">
        <v>1219</v>
      </c>
      <c r="C887" t="s">
        <v>316</v>
      </c>
      <c r="D887" t="s">
        <v>317</v>
      </c>
      <c r="E887" s="89">
        <v>6.2577999999999996</v>
      </c>
      <c r="F887" s="90">
        <v>45413</v>
      </c>
      <c r="G887" s="90">
        <v>51501</v>
      </c>
    </row>
    <row r="888" spans="1:7" x14ac:dyDescent="0.3">
      <c r="A888" t="s">
        <v>1219</v>
      </c>
      <c r="B888" t="s">
        <v>1219</v>
      </c>
      <c r="C888" t="s">
        <v>320</v>
      </c>
      <c r="D888" t="s">
        <v>321</v>
      </c>
      <c r="E888" s="89">
        <v>5.9204999999999997</v>
      </c>
      <c r="F888" s="90">
        <v>45413</v>
      </c>
      <c r="G888" s="90">
        <v>51501</v>
      </c>
    </row>
    <row r="889" spans="1:7" x14ac:dyDescent="0.3">
      <c r="A889" t="s">
        <v>1219</v>
      </c>
      <c r="B889" t="s">
        <v>1219</v>
      </c>
      <c r="C889" t="s">
        <v>324</v>
      </c>
      <c r="D889" t="s">
        <v>325</v>
      </c>
      <c r="E889" s="89">
        <v>6.7320000000000002</v>
      </c>
      <c r="F889" s="90">
        <v>45413</v>
      </c>
      <c r="G889" s="90">
        <v>51501</v>
      </c>
    </row>
    <row r="890" spans="1:7" x14ac:dyDescent="0.3">
      <c r="A890" t="s">
        <v>1219</v>
      </c>
      <c r="B890" t="s">
        <v>1219</v>
      </c>
      <c r="C890" t="s">
        <v>328</v>
      </c>
      <c r="D890" t="s">
        <v>329</v>
      </c>
      <c r="E890" s="89">
        <v>8.4783000000000008</v>
      </c>
      <c r="F890" s="90">
        <v>45413</v>
      </c>
      <c r="G890" s="90">
        <v>51501</v>
      </c>
    </row>
    <row r="891" spans="1:7" x14ac:dyDescent="0.3">
      <c r="A891" t="s">
        <v>1219</v>
      </c>
      <c r="B891" t="s">
        <v>1219</v>
      </c>
      <c r="C891" t="s">
        <v>861</v>
      </c>
      <c r="D891" t="s">
        <v>862</v>
      </c>
      <c r="E891" s="89">
        <v>8.2106999999999992</v>
      </c>
      <c r="F891" s="90">
        <v>45413</v>
      </c>
      <c r="G891" s="90">
        <v>51501</v>
      </c>
    </row>
    <row r="892" spans="1:7" x14ac:dyDescent="0.3">
      <c r="A892" t="s">
        <v>1219</v>
      </c>
      <c r="B892" t="s">
        <v>1219</v>
      </c>
      <c r="C892" t="s">
        <v>332</v>
      </c>
      <c r="D892" t="s">
        <v>333</v>
      </c>
      <c r="E892" s="89">
        <v>9.6346000000000007</v>
      </c>
      <c r="F892" s="90">
        <v>45413</v>
      </c>
      <c r="G892" s="90">
        <v>51501</v>
      </c>
    </row>
    <row r="893" spans="1:7" x14ac:dyDescent="0.3">
      <c r="A893" t="s">
        <v>1219</v>
      </c>
      <c r="B893" t="s">
        <v>1219</v>
      </c>
      <c r="C893" t="s">
        <v>362</v>
      </c>
      <c r="D893" t="s">
        <v>363</v>
      </c>
      <c r="E893" s="89">
        <v>2.8576000000000001</v>
      </c>
      <c r="F893" s="90">
        <v>45413</v>
      </c>
      <c r="G893" s="90">
        <v>51501</v>
      </c>
    </row>
    <row r="894" spans="1:7" x14ac:dyDescent="0.3">
      <c r="A894" t="s">
        <v>1219</v>
      </c>
      <c r="B894" t="s">
        <v>1219</v>
      </c>
      <c r="C894" t="s">
        <v>364</v>
      </c>
      <c r="D894" t="s">
        <v>365</v>
      </c>
      <c r="E894" s="89">
        <v>2.9097</v>
      </c>
      <c r="F894" s="90">
        <v>45413</v>
      </c>
      <c r="G894" s="90">
        <v>51501</v>
      </c>
    </row>
    <row r="895" spans="1:7" x14ac:dyDescent="0.3">
      <c r="A895" t="s">
        <v>1219</v>
      </c>
      <c r="B895" t="s">
        <v>1219</v>
      </c>
      <c r="C895" t="s">
        <v>20</v>
      </c>
      <c r="D895" t="s">
        <v>21</v>
      </c>
      <c r="E895" s="89">
        <v>2.5442</v>
      </c>
      <c r="F895" s="90">
        <v>45413</v>
      </c>
      <c r="G895" s="90">
        <v>51501</v>
      </c>
    </row>
    <row r="896" spans="1:7" x14ac:dyDescent="0.3">
      <c r="A896" t="s">
        <v>1219</v>
      </c>
      <c r="B896" t="s">
        <v>1219</v>
      </c>
      <c r="C896" t="s">
        <v>54</v>
      </c>
      <c r="D896" t="s">
        <v>55</v>
      </c>
      <c r="E896" s="89">
        <v>18.1525</v>
      </c>
      <c r="F896" s="90">
        <v>45413</v>
      </c>
      <c r="G896" s="90">
        <v>51501</v>
      </c>
    </row>
    <row r="897" spans="1:11" x14ac:dyDescent="0.3">
      <c r="A897" t="s">
        <v>1219</v>
      </c>
      <c r="B897" t="s">
        <v>1219</v>
      </c>
      <c r="C897" t="s">
        <v>129</v>
      </c>
      <c r="D897" t="s">
        <v>130</v>
      </c>
      <c r="E897" s="89">
        <v>5.0887000000000002</v>
      </c>
      <c r="F897" s="90">
        <v>45413</v>
      </c>
      <c r="G897" s="90">
        <v>51501</v>
      </c>
    </row>
    <row r="898" spans="1:11" x14ac:dyDescent="0.3">
      <c r="A898" t="s">
        <v>1219</v>
      </c>
      <c r="B898" t="s">
        <v>1219</v>
      </c>
      <c r="C898" t="s">
        <v>131</v>
      </c>
      <c r="D898" t="s">
        <v>132</v>
      </c>
      <c r="E898" s="89">
        <v>12.7225</v>
      </c>
      <c r="F898" s="90">
        <v>45413</v>
      </c>
      <c r="G898" s="90">
        <v>51501</v>
      </c>
    </row>
    <row r="899" spans="1:11" x14ac:dyDescent="0.3">
      <c r="A899" t="s">
        <v>1219</v>
      </c>
      <c r="B899" t="s">
        <v>1219</v>
      </c>
      <c r="C899" s="145" t="s">
        <v>1241</v>
      </c>
      <c r="D899" s="145" t="s">
        <v>1293</v>
      </c>
      <c r="E899" s="146">
        <v>21.6646</v>
      </c>
      <c r="F899" s="147">
        <v>45413</v>
      </c>
      <c r="G899" s="147">
        <v>51501</v>
      </c>
      <c r="I899" s="4" t="s">
        <v>56</v>
      </c>
      <c r="J899" t="s">
        <v>57</v>
      </c>
      <c r="K899" s="69">
        <v>21.6646</v>
      </c>
    </row>
    <row r="900" spans="1:11" x14ac:dyDescent="0.3">
      <c r="A900" t="s">
        <v>1219</v>
      </c>
      <c r="B900" t="s">
        <v>1219</v>
      </c>
      <c r="C900" s="133" t="s">
        <v>1242</v>
      </c>
      <c r="D900" s="133" t="s">
        <v>1294</v>
      </c>
      <c r="E900" s="134">
        <v>3.0529999999999999</v>
      </c>
      <c r="F900" s="148">
        <v>45413</v>
      </c>
      <c r="G900" s="148">
        <v>51501</v>
      </c>
      <c r="H900" s="69"/>
      <c r="I900" s="4"/>
    </row>
    <row r="901" spans="1:11" x14ac:dyDescent="0.3">
      <c r="A901" t="s">
        <v>1219</v>
      </c>
      <c r="B901" t="s">
        <v>1219</v>
      </c>
      <c r="C901" s="138" t="s">
        <v>1243</v>
      </c>
      <c r="D901" s="138" t="s">
        <v>1295</v>
      </c>
      <c r="E901" s="143">
        <v>15.2667</v>
      </c>
      <c r="F901" s="144">
        <v>45413</v>
      </c>
      <c r="G901" s="144">
        <v>51501</v>
      </c>
    </row>
    <row r="902" spans="1:11" x14ac:dyDescent="0.3">
      <c r="A902" t="s">
        <v>1219</v>
      </c>
      <c r="B902" t="s">
        <v>1219</v>
      </c>
      <c r="C902" s="145" t="s">
        <v>1244</v>
      </c>
      <c r="D902" s="145" t="s">
        <v>1296</v>
      </c>
      <c r="E902" s="146">
        <v>28.094799999999999</v>
      </c>
      <c r="F902" s="147">
        <v>45413</v>
      </c>
      <c r="G902" s="147">
        <v>51501</v>
      </c>
      <c r="I902" s="4" t="s">
        <v>58</v>
      </c>
      <c r="J902" t="s">
        <v>59</v>
      </c>
      <c r="K902" s="69">
        <v>28.094799999999999</v>
      </c>
    </row>
    <row r="903" spans="1:11" x14ac:dyDescent="0.3">
      <c r="A903" t="s">
        <v>1219</v>
      </c>
      <c r="B903" t="s">
        <v>1219</v>
      </c>
      <c r="C903" s="145" t="s">
        <v>1245</v>
      </c>
      <c r="D903" s="145" t="s">
        <v>1297</v>
      </c>
      <c r="E903" s="146">
        <v>32.779699999999998</v>
      </c>
      <c r="F903" s="147">
        <v>45413</v>
      </c>
      <c r="G903" s="147">
        <v>51501</v>
      </c>
      <c r="I903" s="4" t="s">
        <v>60</v>
      </c>
      <c r="J903" t="s">
        <v>61</v>
      </c>
      <c r="K903" s="69">
        <v>32.779699999999998</v>
      </c>
    </row>
    <row r="904" spans="1:11" x14ac:dyDescent="0.3">
      <c r="A904" t="s">
        <v>1219</v>
      </c>
      <c r="B904" t="s">
        <v>1219</v>
      </c>
      <c r="C904" t="s">
        <v>813</v>
      </c>
      <c r="D904" t="s">
        <v>814</v>
      </c>
      <c r="E904" s="89">
        <v>4.391</v>
      </c>
      <c r="F904" s="90">
        <v>45413</v>
      </c>
      <c r="G904" s="90">
        <v>51501</v>
      </c>
    </row>
    <row r="905" spans="1:11" x14ac:dyDescent="0.3">
      <c r="A905" t="s">
        <v>1219</v>
      </c>
      <c r="B905" t="s">
        <v>1219</v>
      </c>
      <c r="C905" t="s">
        <v>64</v>
      </c>
      <c r="D905" t="s">
        <v>65</v>
      </c>
      <c r="E905" s="89">
        <v>35.697299999999998</v>
      </c>
      <c r="F905" s="90">
        <v>45413</v>
      </c>
      <c r="G905" s="90">
        <v>51501</v>
      </c>
    </row>
    <row r="906" spans="1:11" x14ac:dyDescent="0.3">
      <c r="A906" t="s">
        <v>1219</v>
      </c>
      <c r="B906" t="s">
        <v>1219</v>
      </c>
      <c r="C906" s="138" t="s">
        <v>1246</v>
      </c>
      <c r="D906" s="138" t="s">
        <v>1298</v>
      </c>
      <c r="E906" s="143">
        <v>19.083200000000001</v>
      </c>
      <c r="F906" s="144">
        <v>45413</v>
      </c>
      <c r="G906" s="144">
        <v>51501</v>
      </c>
    </row>
    <row r="907" spans="1:11" x14ac:dyDescent="0.3">
      <c r="A907" t="s">
        <v>1219</v>
      </c>
      <c r="B907" t="s">
        <v>1219</v>
      </c>
      <c r="C907" t="s">
        <v>815</v>
      </c>
      <c r="D907" t="s">
        <v>816</v>
      </c>
      <c r="E907" s="89">
        <v>5.4886999999999997</v>
      </c>
      <c r="F907" s="90">
        <v>45413</v>
      </c>
      <c r="G907" s="90">
        <v>51501</v>
      </c>
    </row>
    <row r="908" spans="1:11" x14ac:dyDescent="0.3">
      <c r="A908" t="s">
        <v>1219</v>
      </c>
      <c r="B908" t="s">
        <v>1219</v>
      </c>
      <c r="C908" t="s">
        <v>66</v>
      </c>
      <c r="D908" t="s">
        <v>67</v>
      </c>
      <c r="E908" s="89">
        <v>46.824199999999998</v>
      </c>
      <c r="F908" s="90">
        <v>45413</v>
      </c>
      <c r="G908" s="90">
        <v>51501</v>
      </c>
    </row>
    <row r="909" spans="1:11" x14ac:dyDescent="0.3">
      <c r="A909" t="s">
        <v>1219</v>
      </c>
      <c r="B909" t="s">
        <v>1219</v>
      </c>
      <c r="C909" t="s">
        <v>137</v>
      </c>
      <c r="D909" t="s">
        <v>138</v>
      </c>
      <c r="E909" s="89">
        <v>31.805499999999999</v>
      </c>
      <c r="F909" s="90">
        <v>45413</v>
      </c>
      <c r="G909" s="90">
        <v>51501</v>
      </c>
    </row>
    <row r="910" spans="1:11" x14ac:dyDescent="0.3">
      <c r="A910" t="s">
        <v>1219</v>
      </c>
      <c r="B910" t="s">
        <v>1219</v>
      </c>
      <c r="C910" s="138" t="s">
        <v>1247</v>
      </c>
      <c r="D910" s="138" t="s">
        <v>1299</v>
      </c>
      <c r="E910" s="143">
        <v>0.72260000000000002</v>
      </c>
      <c r="F910" s="144">
        <v>45413</v>
      </c>
      <c r="G910" s="144">
        <v>51501</v>
      </c>
    </row>
    <row r="911" spans="1:11" x14ac:dyDescent="0.3">
      <c r="A911" t="s">
        <v>1219</v>
      </c>
      <c r="B911" t="s">
        <v>1219</v>
      </c>
      <c r="C911" t="s">
        <v>89</v>
      </c>
      <c r="D911" t="s">
        <v>90</v>
      </c>
      <c r="E911" s="89">
        <v>8.7807999999999993</v>
      </c>
      <c r="F911" s="90">
        <v>45413</v>
      </c>
      <c r="G911" s="90">
        <v>51501</v>
      </c>
    </row>
    <row r="912" spans="1:11" x14ac:dyDescent="0.3">
      <c r="A912" t="s">
        <v>1219</v>
      </c>
      <c r="B912" t="s">
        <v>1219</v>
      </c>
      <c r="C912" t="s">
        <v>91</v>
      </c>
      <c r="D912" t="s">
        <v>92</v>
      </c>
      <c r="E912" s="89">
        <v>16.136399999999998</v>
      </c>
      <c r="F912" s="90">
        <v>45413</v>
      </c>
      <c r="G912" s="90">
        <v>51501</v>
      </c>
    </row>
    <row r="913" spans="1:11" x14ac:dyDescent="0.3">
      <c r="A913" t="s">
        <v>1219</v>
      </c>
      <c r="B913" t="s">
        <v>1219</v>
      </c>
      <c r="C913" s="138" t="s">
        <v>1248</v>
      </c>
      <c r="D913" s="138" t="s">
        <v>1300</v>
      </c>
      <c r="E913" s="143">
        <v>32.2727</v>
      </c>
      <c r="F913" s="144">
        <v>45413</v>
      </c>
      <c r="G913" s="144">
        <v>51501</v>
      </c>
    </row>
    <row r="914" spans="1:11" x14ac:dyDescent="0.3">
      <c r="A914" t="s">
        <v>1219</v>
      </c>
      <c r="B914" t="s">
        <v>1219</v>
      </c>
      <c r="C914" t="s">
        <v>14</v>
      </c>
      <c r="D914" t="s">
        <v>15</v>
      </c>
      <c r="E914" s="89">
        <v>0.7631</v>
      </c>
      <c r="F914" s="90">
        <v>45413</v>
      </c>
      <c r="G914" s="90">
        <v>51501</v>
      </c>
    </row>
    <row r="915" spans="1:11" x14ac:dyDescent="0.3">
      <c r="A915" t="s">
        <v>1219</v>
      </c>
      <c r="B915" t="s">
        <v>1219</v>
      </c>
      <c r="C915" t="s">
        <v>26</v>
      </c>
      <c r="D915" t="s">
        <v>27</v>
      </c>
      <c r="E915" s="89">
        <v>6.5858999999999996</v>
      </c>
      <c r="F915" s="90">
        <v>45413</v>
      </c>
      <c r="G915" s="90">
        <v>51501</v>
      </c>
    </row>
    <row r="916" spans="1:11" x14ac:dyDescent="0.3">
      <c r="A916" t="s">
        <v>1219</v>
      </c>
      <c r="B916" t="s">
        <v>1219</v>
      </c>
      <c r="C916" s="145" t="s">
        <v>1249</v>
      </c>
      <c r="D916" s="145" t="s">
        <v>1301</v>
      </c>
      <c r="E916" s="146">
        <v>53.798900000000003</v>
      </c>
      <c r="F916" s="147">
        <v>45413</v>
      </c>
      <c r="G916" s="147">
        <v>51501</v>
      </c>
      <c r="I916" s="4" t="s">
        <v>68</v>
      </c>
      <c r="J916" t="s">
        <v>69</v>
      </c>
      <c r="K916" s="69">
        <v>53.798900000000003</v>
      </c>
    </row>
    <row r="917" spans="1:11" x14ac:dyDescent="0.3">
      <c r="A917" t="s">
        <v>1219</v>
      </c>
      <c r="B917" t="s">
        <v>1219</v>
      </c>
      <c r="C917" t="s">
        <v>28</v>
      </c>
      <c r="D917" t="s">
        <v>29</v>
      </c>
      <c r="E917" s="89">
        <v>7.4863</v>
      </c>
      <c r="F917" s="90">
        <v>45413</v>
      </c>
      <c r="G917" s="90">
        <v>51501</v>
      </c>
    </row>
    <row r="918" spans="1:11" x14ac:dyDescent="0.3">
      <c r="A918" t="s">
        <v>1219</v>
      </c>
      <c r="B918" t="s">
        <v>1219</v>
      </c>
      <c r="C918" t="s">
        <v>817</v>
      </c>
      <c r="D918" t="s">
        <v>818</v>
      </c>
      <c r="E918" s="89">
        <v>7.5279999999999996</v>
      </c>
      <c r="F918" s="90">
        <v>45413</v>
      </c>
      <c r="G918" s="90">
        <v>51501</v>
      </c>
    </row>
    <row r="919" spans="1:11" x14ac:dyDescent="0.3">
      <c r="A919" t="s">
        <v>1219</v>
      </c>
      <c r="B919" t="s">
        <v>1219</v>
      </c>
      <c r="C919" t="s">
        <v>34</v>
      </c>
      <c r="D919" t="s">
        <v>35</v>
      </c>
      <c r="E919" s="89">
        <v>8.0670999999999999</v>
      </c>
      <c r="F919" s="90">
        <v>45413</v>
      </c>
      <c r="G919" s="90">
        <v>51501</v>
      </c>
    </row>
    <row r="920" spans="1:11" x14ac:dyDescent="0.3">
      <c r="A920" t="s">
        <v>1219</v>
      </c>
      <c r="B920" t="s">
        <v>1219</v>
      </c>
      <c r="C920" t="s">
        <v>70</v>
      </c>
      <c r="D920" t="s">
        <v>71</v>
      </c>
      <c r="E920" s="89">
        <v>65.677899999999994</v>
      </c>
      <c r="F920" s="90">
        <v>45413</v>
      </c>
      <c r="G920" s="90">
        <v>51501</v>
      </c>
    </row>
    <row r="921" spans="1:11" x14ac:dyDescent="0.3">
      <c r="A921" t="s">
        <v>1219</v>
      </c>
      <c r="B921" t="s">
        <v>1219</v>
      </c>
      <c r="C921" t="s">
        <v>72</v>
      </c>
      <c r="D921" t="s">
        <v>73</v>
      </c>
      <c r="E921" s="89">
        <v>66.200699999999998</v>
      </c>
      <c r="F921" s="90">
        <v>45413</v>
      </c>
      <c r="G921" s="90">
        <v>51501</v>
      </c>
    </row>
    <row r="922" spans="1:11" x14ac:dyDescent="0.3">
      <c r="A922" t="s">
        <v>1219</v>
      </c>
      <c r="B922" t="s">
        <v>1219</v>
      </c>
      <c r="C922" t="s">
        <v>74</v>
      </c>
      <c r="D922" t="s">
        <v>75</v>
      </c>
      <c r="E922" s="89">
        <v>66.286600000000007</v>
      </c>
      <c r="F922" s="90">
        <v>45413</v>
      </c>
      <c r="G922" s="90">
        <v>51501</v>
      </c>
    </row>
    <row r="923" spans="1:11" x14ac:dyDescent="0.3">
      <c r="A923" t="s">
        <v>1219</v>
      </c>
      <c r="B923" t="s">
        <v>1219</v>
      </c>
      <c r="C923" t="s">
        <v>76</v>
      </c>
      <c r="D923" t="s">
        <v>77</v>
      </c>
      <c r="E923" s="89">
        <v>66.305300000000003</v>
      </c>
      <c r="F923" s="90">
        <v>45413</v>
      </c>
      <c r="G923" s="90">
        <v>51501</v>
      </c>
    </row>
    <row r="924" spans="1:11" x14ac:dyDescent="0.3">
      <c r="A924" t="s">
        <v>1219</v>
      </c>
      <c r="B924" t="s">
        <v>1219</v>
      </c>
      <c r="C924" t="s">
        <v>78</v>
      </c>
      <c r="D924" t="s">
        <v>79</v>
      </c>
      <c r="E924" s="89">
        <v>66.374200000000002</v>
      </c>
      <c r="F924" s="90">
        <v>45413</v>
      </c>
      <c r="G924" s="90">
        <v>51501</v>
      </c>
    </row>
    <row r="925" spans="1:11" x14ac:dyDescent="0.3">
      <c r="A925" t="s">
        <v>1219</v>
      </c>
      <c r="B925" t="s">
        <v>1219</v>
      </c>
      <c r="C925" t="s">
        <v>819</v>
      </c>
      <c r="D925" t="s">
        <v>820</v>
      </c>
      <c r="E925" s="89">
        <v>7.6326999999999998</v>
      </c>
      <c r="F925" s="90">
        <v>45413</v>
      </c>
      <c r="G925" s="90">
        <v>51501</v>
      </c>
    </row>
    <row r="926" spans="1:11" x14ac:dyDescent="0.3">
      <c r="A926" t="s">
        <v>1219</v>
      </c>
      <c r="B926" t="s">
        <v>1219</v>
      </c>
      <c r="C926" t="s">
        <v>99</v>
      </c>
      <c r="D926" t="s">
        <v>100</v>
      </c>
      <c r="E926" s="89">
        <v>13.1723</v>
      </c>
      <c r="F926" s="90">
        <v>45413</v>
      </c>
      <c r="G926" s="90">
        <v>51501</v>
      </c>
    </row>
    <row r="927" spans="1:11" x14ac:dyDescent="0.3">
      <c r="A927" t="s">
        <v>1219</v>
      </c>
      <c r="B927" t="s">
        <v>1219</v>
      </c>
      <c r="C927" s="138" t="s">
        <v>1250</v>
      </c>
      <c r="D927" s="138" t="s">
        <v>1302</v>
      </c>
      <c r="E927" s="143">
        <v>24.2014</v>
      </c>
      <c r="F927" s="144">
        <v>45413</v>
      </c>
      <c r="G927" s="144">
        <v>51501</v>
      </c>
    </row>
    <row r="928" spans="1:11" x14ac:dyDescent="0.3">
      <c r="A928" t="s">
        <v>1219</v>
      </c>
      <c r="B928" t="s">
        <v>1219</v>
      </c>
      <c r="C928" t="s">
        <v>101</v>
      </c>
      <c r="D928" t="s">
        <v>102</v>
      </c>
      <c r="E928" s="89">
        <v>3.0531000000000001</v>
      </c>
      <c r="F928" s="90">
        <v>45413</v>
      </c>
      <c r="G928" s="90">
        <v>51501</v>
      </c>
    </row>
    <row r="929" spans="1:11" x14ac:dyDescent="0.3">
      <c r="A929" t="s">
        <v>1219</v>
      </c>
      <c r="B929" t="s">
        <v>1219</v>
      </c>
      <c r="C929" t="s">
        <v>103</v>
      </c>
      <c r="D929" t="s">
        <v>104</v>
      </c>
      <c r="E929" s="89">
        <v>3.8169</v>
      </c>
      <c r="F929" s="90">
        <v>45413</v>
      </c>
      <c r="G929" s="90">
        <v>51501</v>
      </c>
    </row>
    <row r="930" spans="1:11" x14ac:dyDescent="0.3">
      <c r="A930" t="s">
        <v>1219</v>
      </c>
      <c r="B930" t="s">
        <v>1219</v>
      </c>
      <c r="C930" s="138" t="s">
        <v>1251</v>
      </c>
      <c r="D930" s="138" t="s">
        <v>1303</v>
      </c>
      <c r="E930" s="143">
        <v>48.409100000000002</v>
      </c>
      <c r="F930" s="144">
        <v>45413</v>
      </c>
      <c r="G930" s="144">
        <v>51501</v>
      </c>
    </row>
    <row r="931" spans="1:11" x14ac:dyDescent="0.3">
      <c r="A931" t="s">
        <v>1219</v>
      </c>
      <c r="B931" t="s">
        <v>1219</v>
      </c>
      <c r="C931" t="s">
        <v>16</v>
      </c>
      <c r="D931" t="s">
        <v>17</v>
      </c>
      <c r="E931" s="89">
        <v>1.0175000000000001</v>
      </c>
      <c r="F931" s="90">
        <v>45413</v>
      </c>
      <c r="G931" s="90">
        <v>51501</v>
      </c>
    </row>
    <row r="932" spans="1:11" x14ac:dyDescent="0.3">
      <c r="A932" t="s">
        <v>1219</v>
      </c>
      <c r="B932" t="s">
        <v>1219</v>
      </c>
      <c r="C932" t="s">
        <v>80</v>
      </c>
      <c r="D932" t="s">
        <v>81</v>
      </c>
      <c r="E932" s="89">
        <v>70.054199999999994</v>
      </c>
      <c r="F932" s="90">
        <v>45413</v>
      </c>
      <c r="G932" s="90">
        <v>51501</v>
      </c>
    </row>
    <row r="933" spans="1:11" x14ac:dyDescent="0.3">
      <c r="A933" t="s">
        <v>1219</v>
      </c>
      <c r="B933" t="s">
        <v>1219</v>
      </c>
      <c r="C933" s="145" t="s">
        <v>1252</v>
      </c>
      <c r="D933" s="145" t="s">
        <v>1304</v>
      </c>
      <c r="E933" s="146">
        <v>9.8796999999999997</v>
      </c>
      <c r="F933" s="147">
        <v>45413</v>
      </c>
      <c r="G933" s="147">
        <v>51501</v>
      </c>
      <c r="I933" s="4" t="s">
        <v>36</v>
      </c>
      <c r="J933" t="s">
        <v>37</v>
      </c>
      <c r="K933" s="69">
        <v>9.8796999999999997</v>
      </c>
    </row>
    <row r="934" spans="1:11" x14ac:dyDescent="0.3">
      <c r="A934" t="s">
        <v>1219</v>
      </c>
      <c r="B934" t="s">
        <v>1219</v>
      </c>
      <c r="C934" t="s">
        <v>82</v>
      </c>
      <c r="D934" t="s">
        <v>83</v>
      </c>
      <c r="E934" s="89">
        <v>78.965900000000005</v>
      </c>
      <c r="F934" s="90">
        <v>45413</v>
      </c>
      <c r="G934" s="90">
        <v>51501</v>
      </c>
    </row>
    <row r="935" spans="1:11" x14ac:dyDescent="0.3">
      <c r="A935" t="s">
        <v>1219</v>
      </c>
      <c r="B935" t="s">
        <v>1219</v>
      </c>
      <c r="C935" s="133" t="s">
        <v>1253</v>
      </c>
      <c r="D935" s="133" t="s">
        <v>1305</v>
      </c>
      <c r="E935" s="134">
        <v>1.1002000000000001</v>
      </c>
      <c r="F935" s="148">
        <v>45413</v>
      </c>
      <c r="G935" s="148">
        <v>51501</v>
      </c>
    </row>
    <row r="936" spans="1:11" x14ac:dyDescent="0.3">
      <c r="A936" t="s">
        <v>1219</v>
      </c>
      <c r="B936" t="s">
        <v>1219</v>
      </c>
      <c r="C936" t="s">
        <v>38</v>
      </c>
      <c r="D936" t="s">
        <v>39</v>
      </c>
      <c r="E936" s="89">
        <v>10.431800000000001</v>
      </c>
      <c r="F936" s="90">
        <v>45413</v>
      </c>
      <c r="G936" s="90">
        <v>51501</v>
      </c>
    </row>
    <row r="937" spans="1:11" x14ac:dyDescent="0.3">
      <c r="A937" t="s">
        <v>1219</v>
      </c>
      <c r="B937" t="s">
        <v>1219</v>
      </c>
      <c r="C937" t="s">
        <v>821</v>
      </c>
      <c r="D937" t="s">
        <v>822</v>
      </c>
      <c r="E937" s="89">
        <v>10.1769</v>
      </c>
      <c r="F937" s="90">
        <v>45413</v>
      </c>
      <c r="G937" s="90">
        <v>51501</v>
      </c>
    </row>
    <row r="938" spans="1:11" x14ac:dyDescent="0.3">
      <c r="A938" t="s">
        <v>1219</v>
      </c>
      <c r="B938" t="s">
        <v>1219</v>
      </c>
      <c r="C938" s="138" t="s">
        <v>1254</v>
      </c>
      <c r="D938" s="138" t="s">
        <v>1306</v>
      </c>
      <c r="E938" s="143">
        <v>12.7226</v>
      </c>
      <c r="F938" s="144">
        <v>45413</v>
      </c>
      <c r="G938" s="144">
        <v>51501</v>
      </c>
    </row>
    <row r="939" spans="1:11" x14ac:dyDescent="0.3">
      <c r="A939" t="s">
        <v>1219</v>
      </c>
      <c r="B939" t="s">
        <v>1219</v>
      </c>
      <c r="C939" t="s">
        <v>115</v>
      </c>
      <c r="D939" t="s">
        <v>116</v>
      </c>
      <c r="E939" s="89">
        <v>17.563700000000001</v>
      </c>
      <c r="F939" s="90">
        <v>45413</v>
      </c>
      <c r="G939" s="90">
        <v>51501</v>
      </c>
    </row>
    <row r="940" spans="1:11" x14ac:dyDescent="0.3">
      <c r="A940" t="s">
        <v>1219</v>
      </c>
      <c r="B940" t="s">
        <v>1219</v>
      </c>
      <c r="C940" t="s">
        <v>823</v>
      </c>
      <c r="D940" t="s">
        <v>824</v>
      </c>
      <c r="E940" s="89">
        <v>5.0888999999999998</v>
      </c>
      <c r="F940" s="90">
        <v>45413</v>
      </c>
      <c r="G940" s="90">
        <v>51501</v>
      </c>
    </row>
    <row r="941" spans="1:11" x14ac:dyDescent="0.3">
      <c r="A941" t="s">
        <v>1219</v>
      </c>
      <c r="B941" t="s">
        <v>1219</v>
      </c>
      <c r="C941" s="138" t="s">
        <v>1255</v>
      </c>
      <c r="D941" s="138" t="s">
        <v>1307</v>
      </c>
      <c r="E941" s="143">
        <v>64.545500000000004</v>
      </c>
      <c r="F941" s="144">
        <v>45413</v>
      </c>
      <c r="G941" s="144">
        <v>51501</v>
      </c>
    </row>
    <row r="942" spans="1:11" x14ac:dyDescent="0.3">
      <c r="A942" t="s">
        <v>1219</v>
      </c>
      <c r="B942" t="s">
        <v>1219</v>
      </c>
      <c r="C942" t="s">
        <v>18</v>
      </c>
      <c r="D942" t="s">
        <v>19</v>
      </c>
      <c r="E942" s="89">
        <v>1.2723</v>
      </c>
      <c r="F942" s="90">
        <v>45413</v>
      </c>
      <c r="G942" s="90">
        <v>51501</v>
      </c>
    </row>
    <row r="943" spans="1:11" x14ac:dyDescent="0.3">
      <c r="A943" t="s">
        <v>1219</v>
      </c>
      <c r="B943" t="s">
        <v>1219</v>
      </c>
      <c r="C943" t="s">
        <v>40</v>
      </c>
      <c r="D943" t="s">
        <v>41</v>
      </c>
      <c r="E943" s="89">
        <v>10.7546</v>
      </c>
      <c r="F943" s="90">
        <v>45413</v>
      </c>
      <c r="G943" s="90">
        <v>51501</v>
      </c>
    </row>
    <row r="944" spans="1:11" x14ac:dyDescent="0.3">
      <c r="A944" t="s">
        <v>1219</v>
      </c>
      <c r="B944" t="s">
        <v>1219</v>
      </c>
      <c r="C944" s="133" t="s">
        <v>1256</v>
      </c>
      <c r="D944" s="133" t="s">
        <v>1308</v>
      </c>
      <c r="E944" s="134">
        <v>102.7471</v>
      </c>
      <c r="F944" s="148">
        <v>45413</v>
      </c>
      <c r="G944" s="148">
        <v>51501</v>
      </c>
    </row>
    <row r="945" spans="1:7" x14ac:dyDescent="0.3">
      <c r="A945" t="s">
        <v>1219</v>
      </c>
      <c r="B945" t="s">
        <v>1219</v>
      </c>
      <c r="C945" t="s">
        <v>119</v>
      </c>
      <c r="D945" t="s">
        <v>120</v>
      </c>
      <c r="E945" s="89">
        <v>21.955100000000002</v>
      </c>
      <c r="F945" s="90">
        <v>45413</v>
      </c>
      <c r="G945" s="90">
        <v>51501</v>
      </c>
    </row>
    <row r="946" spans="1:7" x14ac:dyDescent="0.3">
      <c r="A946" t="s">
        <v>1219</v>
      </c>
      <c r="B946" t="s">
        <v>1219</v>
      </c>
      <c r="C946" t="s">
        <v>121</v>
      </c>
      <c r="D946" t="s">
        <v>122</v>
      </c>
      <c r="E946" s="89">
        <v>6.8052000000000001</v>
      </c>
      <c r="F946" s="90">
        <v>45413</v>
      </c>
      <c r="G946" s="90">
        <v>51501</v>
      </c>
    </row>
    <row r="947" spans="1:7" x14ac:dyDescent="0.3">
      <c r="A947" t="s">
        <v>1219</v>
      </c>
      <c r="B947" t="s">
        <v>1219</v>
      </c>
      <c r="C947" s="133" t="s">
        <v>1257</v>
      </c>
      <c r="D947" s="133" t="s">
        <v>1309</v>
      </c>
      <c r="E947" s="134">
        <v>105.28789999999999</v>
      </c>
      <c r="F947" s="148">
        <v>45413</v>
      </c>
      <c r="G947" s="148">
        <v>51501</v>
      </c>
    </row>
    <row r="948" spans="1:7" x14ac:dyDescent="0.3">
      <c r="A948" t="s">
        <v>1219</v>
      </c>
      <c r="B948" t="s">
        <v>1219</v>
      </c>
      <c r="C948" t="s">
        <v>125</v>
      </c>
      <c r="D948" t="s">
        <v>126</v>
      </c>
      <c r="E948" s="89">
        <v>7.6337000000000002</v>
      </c>
      <c r="F948" s="90">
        <v>45413</v>
      </c>
      <c r="G948" s="90">
        <v>51501</v>
      </c>
    </row>
    <row r="949" spans="1:7" x14ac:dyDescent="0.3">
      <c r="A949" t="s">
        <v>1219</v>
      </c>
      <c r="B949" t="s">
        <v>1219</v>
      </c>
      <c r="C949" t="s">
        <v>44</v>
      </c>
      <c r="D949" t="s">
        <v>45</v>
      </c>
      <c r="E949" s="89">
        <v>13.6996</v>
      </c>
      <c r="F949" s="90">
        <v>45413</v>
      </c>
      <c r="G949" s="90">
        <v>51501</v>
      </c>
    </row>
    <row r="950" spans="1:7" x14ac:dyDescent="0.3">
      <c r="A950" t="s">
        <v>1219</v>
      </c>
      <c r="B950" t="s">
        <v>1219</v>
      </c>
      <c r="C950" t="s">
        <v>46</v>
      </c>
      <c r="D950" t="s">
        <v>47</v>
      </c>
      <c r="E950" s="89">
        <v>13.893700000000001</v>
      </c>
      <c r="F950" s="90">
        <v>45413</v>
      </c>
      <c r="G950" s="90">
        <v>51501</v>
      </c>
    </row>
    <row r="951" spans="1:7" x14ac:dyDescent="0.3">
      <c r="A951" t="s">
        <v>1219</v>
      </c>
      <c r="B951" t="s">
        <v>1219</v>
      </c>
      <c r="C951" t="s">
        <v>48</v>
      </c>
      <c r="D951" t="s">
        <v>49</v>
      </c>
      <c r="E951" s="89">
        <v>14.0886</v>
      </c>
      <c r="F951" s="90">
        <v>45413</v>
      </c>
      <c r="G951" s="90">
        <v>51501</v>
      </c>
    </row>
    <row r="952" spans="1:7" x14ac:dyDescent="0.3">
      <c r="A952" t="s">
        <v>1219</v>
      </c>
      <c r="B952" t="s">
        <v>1219</v>
      </c>
      <c r="C952" t="s">
        <v>50</v>
      </c>
      <c r="D952" t="s">
        <v>51</v>
      </c>
      <c r="E952" s="89">
        <v>14.284800000000001</v>
      </c>
      <c r="F952" s="90">
        <v>45413</v>
      </c>
      <c r="G952" s="90">
        <v>51501</v>
      </c>
    </row>
    <row r="953" spans="1:7" x14ac:dyDescent="0.3">
      <c r="A953" t="s">
        <v>1219</v>
      </c>
      <c r="B953" t="s">
        <v>1219</v>
      </c>
      <c r="C953" t="s">
        <v>52</v>
      </c>
      <c r="D953" t="s">
        <v>53</v>
      </c>
      <c r="E953" s="89">
        <v>14.6782</v>
      </c>
      <c r="F953" s="90">
        <v>45413</v>
      </c>
      <c r="G953" s="90">
        <v>51501</v>
      </c>
    </row>
    <row r="954" spans="1:7" x14ac:dyDescent="0.3">
      <c r="A954" t="s">
        <v>1219</v>
      </c>
      <c r="B954" t="s">
        <v>1219</v>
      </c>
      <c r="C954" s="138" t="s">
        <v>1258</v>
      </c>
      <c r="D954" s="138" t="s">
        <v>1310</v>
      </c>
      <c r="E954" s="143">
        <v>19.068100000000001</v>
      </c>
      <c r="F954" s="144">
        <v>45413</v>
      </c>
      <c r="G954" s="144">
        <v>51501</v>
      </c>
    </row>
    <row r="955" spans="1:7" x14ac:dyDescent="0.3">
      <c r="A955" t="s">
        <v>1219</v>
      </c>
      <c r="B955" t="s">
        <v>1219</v>
      </c>
      <c r="C955" s="138" t="s">
        <v>1259</v>
      </c>
      <c r="D955" s="138" t="s">
        <v>1311</v>
      </c>
      <c r="E955" s="143">
        <v>19.068100000000001</v>
      </c>
      <c r="F955" s="144">
        <v>45413</v>
      </c>
      <c r="G955" s="144">
        <v>51501</v>
      </c>
    </row>
    <row r="956" spans="1:7" x14ac:dyDescent="0.3">
      <c r="A956" t="s">
        <v>1219</v>
      </c>
      <c r="B956" t="s">
        <v>1219</v>
      </c>
      <c r="C956" s="138" t="s">
        <v>1260</v>
      </c>
      <c r="D956" s="138" t="s">
        <v>1312</v>
      </c>
      <c r="E956" s="143">
        <v>18.494800000000001</v>
      </c>
      <c r="F956" s="144">
        <v>45413</v>
      </c>
      <c r="G956" s="144">
        <v>51501</v>
      </c>
    </row>
    <row r="957" spans="1:7" x14ac:dyDescent="0.3">
      <c r="A957" t="s">
        <v>1219</v>
      </c>
      <c r="B957" t="s">
        <v>1219</v>
      </c>
      <c r="C957" s="138" t="s">
        <v>1261</v>
      </c>
      <c r="D957" s="138" t="s">
        <v>1313</v>
      </c>
      <c r="E957" s="143">
        <v>8.9057999999999993</v>
      </c>
      <c r="F957" s="144">
        <v>45413</v>
      </c>
      <c r="G957" s="144">
        <v>51501</v>
      </c>
    </row>
    <row r="958" spans="1:7" x14ac:dyDescent="0.3">
      <c r="A958" t="s">
        <v>1219</v>
      </c>
      <c r="B958" t="s">
        <v>1219</v>
      </c>
      <c r="C958" t="s">
        <v>32</v>
      </c>
      <c r="D958" t="s">
        <v>33</v>
      </c>
      <c r="E958" s="89">
        <v>7.7252000000000001</v>
      </c>
      <c r="F958" s="90">
        <v>45413</v>
      </c>
      <c r="G958" s="90">
        <v>51501</v>
      </c>
    </row>
    <row r="959" spans="1:7" x14ac:dyDescent="0.3">
      <c r="A959" t="s">
        <v>1219</v>
      </c>
      <c r="B959" t="s">
        <v>1219</v>
      </c>
      <c r="C959" t="s">
        <v>139</v>
      </c>
      <c r="D959" t="s">
        <v>140</v>
      </c>
      <c r="E959" s="89">
        <v>0.3805</v>
      </c>
      <c r="F959" s="90">
        <v>45413</v>
      </c>
      <c r="G959" s="90">
        <v>51501</v>
      </c>
    </row>
    <row r="960" spans="1:7" x14ac:dyDescent="0.3">
      <c r="A960" t="s">
        <v>1219</v>
      </c>
      <c r="B960" t="s">
        <v>1219</v>
      </c>
      <c r="C960" t="s">
        <v>141</v>
      </c>
      <c r="D960" t="s">
        <v>142</v>
      </c>
      <c r="E960" s="89">
        <v>3.8140999999999998</v>
      </c>
      <c r="F960" s="90">
        <v>45413</v>
      </c>
      <c r="G960" s="90">
        <v>51501</v>
      </c>
    </row>
    <row r="961" spans="1:7" x14ac:dyDescent="0.3">
      <c r="A961" t="s">
        <v>1219</v>
      </c>
      <c r="B961" t="s">
        <v>1219</v>
      </c>
      <c r="C961" t="s">
        <v>143</v>
      </c>
      <c r="D961" t="s">
        <v>144</v>
      </c>
      <c r="E961" s="89">
        <v>27.572900000000001</v>
      </c>
      <c r="F961" s="90">
        <v>45413</v>
      </c>
      <c r="G961" s="90">
        <v>51501</v>
      </c>
    </row>
    <row r="962" spans="1:7" x14ac:dyDescent="0.3">
      <c r="A962" t="s">
        <v>1219</v>
      </c>
      <c r="B962" t="s">
        <v>1219</v>
      </c>
      <c r="C962" t="s">
        <v>825</v>
      </c>
      <c r="D962" t="s">
        <v>826</v>
      </c>
      <c r="E962" s="89">
        <v>4.4362000000000004</v>
      </c>
      <c r="F962" s="90">
        <v>45413</v>
      </c>
      <c r="G962" s="90">
        <v>51501</v>
      </c>
    </row>
    <row r="963" spans="1:7" x14ac:dyDescent="0.3">
      <c r="A963" t="s">
        <v>1219</v>
      </c>
      <c r="B963" t="s">
        <v>1219</v>
      </c>
      <c r="C963" t="s">
        <v>145</v>
      </c>
      <c r="D963" t="s">
        <v>146</v>
      </c>
      <c r="E963" s="89">
        <v>33.086399999999998</v>
      </c>
      <c r="F963" s="90">
        <v>45413</v>
      </c>
      <c r="G963" s="90">
        <v>51501</v>
      </c>
    </row>
    <row r="964" spans="1:7" x14ac:dyDescent="0.3">
      <c r="A964" t="s">
        <v>1219</v>
      </c>
      <c r="B964" t="s">
        <v>1219</v>
      </c>
      <c r="C964" t="s">
        <v>949</v>
      </c>
      <c r="D964" t="s">
        <v>950</v>
      </c>
      <c r="E964" s="89">
        <v>3.1682999999999999</v>
      </c>
      <c r="F964" s="90">
        <v>45413</v>
      </c>
      <c r="G964" s="90">
        <v>51501</v>
      </c>
    </row>
    <row r="965" spans="1:7" x14ac:dyDescent="0.3">
      <c r="A965" t="s">
        <v>1219</v>
      </c>
      <c r="B965" t="s">
        <v>1219</v>
      </c>
      <c r="C965" t="s">
        <v>147</v>
      </c>
      <c r="D965" t="s">
        <v>148</v>
      </c>
      <c r="E965" s="89">
        <v>5.5458999999999996</v>
      </c>
      <c r="F965" s="90">
        <v>45413</v>
      </c>
      <c r="G965" s="90">
        <v>51501</v>
      </c>
    </row>
    <row r="966" spans="1:7" x14ac:dyDescent="0.3">
      <c r="A966" t="s">
        <v>1219</v>
      </c>
      <c r="B966" t="s">
        <v>1219</v>
      </c>
      <c r="C966" t="s">
        <v>149</v>
      </c>
      <c r="D966" t="s">
        <v>150</v>
      </c>
      <c r="E966" s="89">
        <v>41.939300000000003</v>
      </c>
      <c r="F966" s="90">
        <v>45413</v>
      </c>
      <c r="G966" s="90">
        <v>51501</v>
      </c>
    </row>
    <row r="967" spans="1:7" x14ac:dyDescent="0.3">
      <c r="A967" t="s">
        <v>1219</v>
      </c>
      <c r="B967" t="s">
        <v>1219</v>
      </c>
      <c r="C967" t="s">
        <v>151</v>
      </c>
      <c r="D967" t="s">
        <v>152</v>
      </c>
      <c r="E967" s="89">
        <v>44.735300000000002</v>
      </c>
      <c r="F967" s="90">
        <v>45413</v>
      </c>
      <c r="G967" s="90">
        <v>51501</v>
      </c>
    </row>
    <row r="968" spans="1:7" x14ac:dyDescent="0.3">
      <c r="A968" t="s">
        <v>1219</v>
      </c>
      <c r="B968" t="s">
        <v>1219</v>
      </c>
      <c r="C968" t="s">
        <v>153</v>
      </c>
      <c r="D968" t="s">
        <v>154</v>
      </c>
      <c r="E968" s="89">
        <v>6.4699</v>
      </c>
      <c r="F968" s="90">
        <v>45413</v>
      </c>
      <c r="G968" s="90">
        <v>51501</v>
      </c>
    </row>
    <row r="969" spans="1:7" x14ac:dyDescent="0.3">
      <c r="A969" t="s">
        <v>1219</v>
      </c>
      <c r="B969" t="s">
        <v>1219</v>
      </c>
      <c r="C969" t="s">
        <v>155</v>
      </c>
      <c r="D969" t="s">
        <v>156</v>
      </c>
      <c r="E969" s="89">
        <v>6.6548999999999996</v>
      </c>
      <c r="F969" s="90">
        <v>45413</v>
      </c>
      <c r="G969" s="90">
        <v>51501</v>
      </c>
    </row>
    <row r="970" spans="1:7" x14ac:dyDescent="0.3">
      <c r="A970" t="s">
        <v>1219</v>
      </c>
      <c r="B970" t="s">
        <v>1219</v>
      </c>
      <c r="C970" t="s">
        <v>157</v>
      </c>
      <c r="D970" t="s">
        <v>158</v>
      </c>
      <c r="E970" s="89">
        <v>50.327399999999997</v>
      </c>
      <c r="F970" s="90">
        <v>45413</v>
      </c>
      <c r="G970" s="90">
        <v>51501</v>
      </c>
    </row>
    <row r="971" spans="1:7" x14ac:dyDescent="0.3">
      <c r="A971" t="s">
        <v>1219</v>
      </c>
      <c r="B971" t="s">
        <v>1219</v>
      </c>
      <c r="C971" t="s">
        <v>159</v>
      </c>
      <c r="D971" t="s">
        <v>160</v>
      </c>
      <c r="E971" s="89">
        <v>0.98919999999999997</v>
      </c>
      <c r="F971" s="90">
        <v>45413</v>
      </c>
      <c r="G971" s="90">
        <v>51501</v>
      </c>
    </row>
    <row r="972" spans="1:7" x14ac:dyDescent="0.3">
      <c r="A972" t="s">
        <v>1219</v>
      </c>
      <c r="B972" t="s">
        <v>1219</v>
      </c>
      <c r="C972" t="s">
        <v>161</v>
      </c>
      <c r="D972" t="s">
        <v>162</v>
      </c>
      <c r="E972" s="89">
        <v>0.99170000000000003</v>
      </c>
      <c r="F972" s="90">
        <v>45413</v>
      </c>
      <c r="G972" s="90">
        <v>51501</v>
      </c>
    </row>
    <row r="973" spans="1:7" x14ac:dyDescent="0.3">
      <c r="A973" t="s">
        <v>1219</v>
      </c>
      <c r="B973" t="s">
        <v>1219</v>
      </c>
      <c r="C973" t="s">
        <v>163</v>
      </c>
      <c r="D973" t="s">
        <v>164</v>
      </c>
      <c r="E973" s="89">
        <v>52.048999999999999</v>
      </c>
      <c r="F973" s="90">
        <v>45413</v>
      </c>
      <c r="G973" s="90">
        <v>51501</v>
      </c>
    </row>
    <row r="974" spans="1:7" x14ac:dyDescent="0.3">
      <c r="A974" t="s">
        <v>1219</v>
      </c>
      <c r="B974" t="s">
        <v>1219</v>
      </c>
      <c r="C974" t="s">
        <v>165</v>
      </c>
      <c r="D974" t="s">
        <v>166</v>
      </c>
      <c r="E974" s="89">
        <v>54.503</v>
      </c>
      <c r="F974" s="90">
        <v>45413</v>
      </c>
      <c r="G974" s="90">
        <v>51501</v>
      </c>
    </row>
    <row r="975" spans="1:7" x14ac:dyDescent="0.3">
      <c r="A975" t="s">
        <v>1219</v>
      </c>
      <c r="B975" t="s">
        <v>1219</v>
      </c>
      <c r="C975" t="s">
        <v>167</v>
      </c>
      <c r="D975" t="s">
        <v>168</v>
      </c>
      <c r="E975" s="89">
        <v>1.0593999999999999</v>
      </c>
      <c r="F975" s="90">
        <v>45413</v>
      </c>
      <c r="G975" s="90">
        <v>51501</v>
      </c>
    </row>
    <row r="976" spans="1:7" x14ac:dyDescent="0.3">
      <c r="A976" t="s">
        <v>1219</v>
      </c>
      <c r="B976" t="s">
        <v>1219</v>
      </c>
      <c r="C976" t="s">
        <v>169</v>
      </c>
      <c r="D976" t="s">
        <v>170</v>
      </c>
      <c r="E976" s="89">
        <v>7.1535000000000002</v>
      </c>
      <c r="F976" s="90">
        <v>45413</v>
      </c>
      <c r="G976" s="90">
        <v>51501</v>
      </c>
    </row>
    <row r="977" spans="1:7" x14ac:dyDescent="0.3">
      <c r="A977" t="s">
        <v>1219</v>
      </c>
      <c r="B977" t="s">
        <v>1219</v>
      </c>
      <c r="C977" t="s">
        <v>171</v>
      </c>
      <c r="D977" t="s">
        <v>172</v>
      </c>
      <c r="E977" s="89">
        <v>55.917099999999998</v>
      </c>
      <c r="F977" s="90">
        <v>45413</v>
      </c>
      <c r="G977" s="90">
        <v>51501</v>
      </c>
    </row>
    <row r="978" spans="1:7" x14ac:dyDescent="0.3">
      <c r="A978" t="s">
        <v>1219</v>
      </c>
      <c r="B978" t="s">
        <v>1219</v>
      </c>
      <c r="C978" t="s">
        <v>173</v>
      </c>
      <c r="D978" t="s">
        <v>174</v>
      </c>
      <c r="E978" s="89">
        <v>61.508800000000001</v>
      </c>
      <c r="F978" s="90">
        <v>45413</v>
      </c>
      <c r="G978" s="90">
        <v>51501</v>
      </c>
    </row>
    <row r="979" spans="1:7" x14ac:dyDescent="0.3">
      <c r="A979" t="s">
        <v>1219</v>
      </c>
      <c r="B979" t="s">
        <v>1219</v>
      </c>
      <c r="C979" t="s">
        <v>827</v>
      </c>
      <c r="D979" t="s">
        <v>828</v>
      </c>
      <c r="E979" s="89">
        <v>6.3586</v>
      </c>
      <c r="F979" s="90">
        <v>45413</v>
      </c>
      <c r="G979" s="90">
        <v>51501</v>
      </c>
    </row>
    <row r="980" spans="1:7" x14ac:dyDescent="0.3">
      <c r="A980" t="s">
        <v>1219</v>
      </c>
      <c r="B980" t="s">
        <v>1219</v>
      </c>
      <c r="C980" t="s">
        <v>175</v>
      </c>
      <c r="D980" t="s">
        <v>176</v>
      </c>
      <c r="E980" s="89">
        <v>1.3221000000000001</v>
      </c>
      <c r="F980" s="90">
        <v>45413</v>
      </c>
      <c r="G980" s="90">
        <v>51501</v>
      </c>
    </row>
    <row r="981" spans="1:7" x14ac:dyDescent="0.3">
      <c r="A981" t="s">
        <v>1219</v>
      </c>
      <c r="B981" t="s">
        <v>1219</v>
      </c>
      <c r="C981" t="s">
        <v>177</v>
      </c>
      <c r="D981" t="s">
        <v>178</v>
      </c>
      <c r="E981" s="89">
        <v>8.9403000000000006</v>
      </c>
      <c r="F981" s="90">
        <v>45413</v>
      </c>
      <c r="G981" s="90">
        <v>51501</v>
      </c>
    </row>
    <row r="982" spans="1:7" x14ac:dyDescent="0.3">
      <c r="A982" t="s">
        <v>1219</v>
      </c>
      <c r="B982" t="s">
        <v>1219</v>
      </c>
      <c r="C982" t="s">
        <v>179</v>
      </c>
      <c r="D982" t="s">
        <v>180</v>
      </c>
      <c r="E982" s="89">
        <v>9.5152999999999999</v>
      </c>
      <c r="F982" s="90">
        <v>45413</v>
      </c>
      <c r="G982" s="90">
        <v>51501</v>
      </c>
    </row>
    <row r="983" spans="1:7" x14ac:dyDescent="0.3">
      <c r="A983" t="s">
        <v>1219</v>
      </c>
      <c r="B983" t="s">
        <v>1219</v>
      </c>
      <c r="C983" t="s">
        <v>181</v>
      </c>
      <c r="D983" t="s">
        <v>182</v>
      </c>
      <c r="E983" s="89">
        <v>78.286500000000004</v>
      </c>
      <c r="F983" s="90">
        <v>45413</v>
      </c>
      <c r="G983" s="90">
        <v>51501</v>
      </c>
    </row>
    <row r="984" spans="1:7" x14ac:dyDescent="0.3">
      <c r="A984" t="s">
        <v>1219</v>
      </c>
      <c r="B984" t="s">
        <v>1219</v>
      </c>
      <c r="C984" t="s">
        <v>183</v>
      </c>
      <c r="D984" t="s">
        <v>184</v>
      </c>
      <c r="E984" s="89">
        <v>1.5330999999999999</v>
      </c>
      <c r="F984" s="90">
        <v>45413</v>
      </c>
      <c r="G984" s="90">
        <v>51501</v>
      </c>
    </row>
    <row r="985" spans="1:7" x14ac:dyDescent="0.3">
      <c r="A985" t="s">
        <v>1219</v>
      </c>
      <c r="B985" t="s">
        <v>1219</v>
      </c>
      <c r="C985" t="s">
        <v>939</v>
      </c>
      <c r="D985" t="s">
        <v>940</v>
      </c>
      <c r="E985" s="89">
        <v>7.6280999999999999</v>
      </c>
      <c r="F985" s="90">
        <v>45413</v>
      </c>
      <c r="G985" s="90">
        <v>51501</v>
      </c>
    </row>
    <row r="986" spans="1:7" x14ac:dyDescent="0.3">
      <c r="A986" t="s">
        <v>1219</v>
      </c>
      <c r="B986" t="s">
        <v>1219</v>
      </c>
      <c r="C986" t="s">
        <v>222</v>
      </c>
      <c r="D986" t="s">
        <v>223</v>
      </c>
      <c r="E986" s="89">
        <v>1.9789000000000001</v>
      </c>
      <c r="F986" s="90">
        <v>45413</v>
      </c>
      <c r="G986" s="90">
        <v>51501</v>
      </c>
    </row>
    <row r="987" spans="1:7" x14ac:dyDescent="0.3">
      <c r="A987" t="s">
        <v>1219</v>
      </c>
      <c r="B987" t="s">
        <v>1219</v>
      </c>
      <c r="C987" t="s">
        <v>224</v>
      </c>
      <c r="D987" t="s">
        <v>225</v>
      </c>
      <c r="E987" s="89">
        <v>2.1185</v>
      </c>
      <c r="F987" s="90">
        <v>45413</v>
      </c>
      <c r="G987" s="90">
        <v>51501</v>
      </c>
    </row>
    <row r="988" spans="1:7" x14ac:dyDescent="0.3">
      <c r="A988" t="s">
        <v>1219</v>
      </c>
      <c r="B988" t="s">
        <v>1219</v>
      </c>
      <c r="C988" t="s">
        <v>226</v>
      </c>
      <c r="D988" t="s">
        <v>227</v>
      </c>
      <c r="E988" s="89">
        <v>3.9659</v>
      </c>
      <c r="F988" s="90">
        <v>45413</v>
      </c>
      <c r="G988" s="90">
        <v>51501</v>
      </c>
    </row>
    <row r="989" spans="1:7" x14ac:dyDescent="0.3">
      <c r="A989" t="s">
        <v>1219</v>
      </c>
      <c r="B989" t="s">
        <v>1219</v>
      </c>
      <c r="C989" t="s">
        <v>228</v>
      </c>
      <c r="D989" t="s">
        <v>229</v>
      </c>
      <c r="E989" s="89">
        <v>24.814399999999999</v>
      </c>
      <c r="F989" s="90">
        <v>45413</v>
      </c>
      <c r="G989" s="90">
        <v>51501</v>
      </c>
    </row>
    <row r="990" spans="1:7" x14ac:dyDescent="0.3">
      <c r="A990" t="s">
        <v>1219</v>
      </c>
      <c r="B990" t="s">
        <v>1219</v>
      </c>
      <c r="C990" t="s">
        <v>230</v>
      </c>
      <c r="D990" t="s">
        <v>231</v>
      </c>
      <c r="E990" s="89">
        <v>6.6649000000000003</v>
      </c>
      <c r="F990" s="90">
        <v>45413</v>
      </c>
      <c r="G990" s="90">
        <v>51501</v>
      </c>
    </row>
    <row r="991" spans="1:7" x14ac:dyDescent="0.3">
      <c r="A991" t="s">
        <v>1219</v>
      </c>
      <c r="B991" t="s">
        <v>1219</v>
      </c>
      <c r="C991" t="s">
        <v>185</v>
      </c>
      <c r="D991" t="s">
        <v>186</v>
      </c>
      <c r="E991" s="89">
        <v>1.5861000000000001</v>
      </c>
      <c r="F991" s="90">
        <v>45413</v>
      </c>
      <c r="G991" s="90">
        <v>51501</v>
      </c>
    </row>
    <row r="992" spans="1:7" x14ac:dyDescent="0.3">
      <c r="A992" t="s">
        <v>1219</v>
      </c>
      <c r="B992" t="s">
        <v>1219</v>
      </c>
      <c r="C992" t="s">
        <v>187</v>
      </c>
      <c r="D992" t="s">
        <v>188</v>
      </c>
      <c r="E992" s="89">
        <v>10.3809</v>
      </c>
      <c r="F992" s="90">
        <v>45413</v>
      </c>
      <c r="G992" s="90">
        <v>51501</v>
      </c>
    </row>
    <row r="993" spans="1:7" x14ac:dyDescent="0.3">
      <c r="A993" t="s">
        <v>1219</v>
      </c>
      <c r="B993" t="s">
        <v>1219</v>
      </c>
      <c r="C993" t="s">
        <v>829</v>
      </c>
      <c r="D993" t="s">
        <v>830</v>
      </c>
      <c r="E993" s="89">
        <v>83.846199999999996</v>
      </c>
      <c r="F993" s="90">
        <v>45413</v>
      </c>
      <c r="G993" s="90">
        <v>51501</v>
      </c>
    </row>
    <row r="994" spans="1:7" x14ac:dyDescent="0.3">
      <c r="A994" t="s">
        <v>1219</v>
      </c>
      <c r="B994" t="s">
        <v>1219</v>
      </c>
      <c r="C994" t="s">
        <v>189</v>
      </c>
      <c r="D994" t="s">
        <v>190</v>
      </c>
      <c r="E994" s="89">
        <v>1.7551000000000001</v>
      </c>
      <c r="F994" s="90">
        <v>45413</v>
      </c>
      <c r="G994" s="90">
        <v>51501</v>
      </c>
    </row>
    <row r="995" spans="1:7" x14ac:dyDescent="0.3">
      <c r="A995" t="s">
        <v>1219</v>
      </c>
      <c r="B995" t="s">
        <v>1219</v>
      </c>
      <c r="C995" t="s">
        <v>191</v>
      </c>
      <c r="D995" t="s">
        <v>192</v>
      </c>
      <c r="E995" s="89">
        <v>1.8507</v>
      </c>
      <c r="F995" s="90">
        <v>45413</v>
      </c>
      <c r="G995" s="90">
        <v>51501</v>
      </c>
    </row>
    <row r="996" spans="1:7" x14ac:dyDescent="0.3">
      <c r="A996" t="s">
        <v>1219</v>
      </c>
      <c r="B996" t="s">
        <v>1219</v>
      </c>
      <c r="C996" t="s">
        <v>831</v>
      </c>
      <c r="D996" t="s">
        <v>832</v>
      </c>
      <c r="E996" s="89">
        <v>1.8880999999999999</v>
      </c>
      <c r="F996" s="90">
        <v>45413</v>
      </c>
      <c r="G996" s="90">
        <v>51501</v>
      </c>
    </row>
    <row r="997" spans="1:7" x14ac:dyDescent="0.3">
      <c r="A997" t="s">
        <v>1219</v>
      </c>
      <c r="B997" t="s">
        <v>1219</v>
      </c>
      <c r="C997" t="s">
        <v>193</v>
      </c>
      <c r="D997" t="s">
        <v>194</v>
      </c>
      <c r="E997" s="89">
        <v>1.9829000000000001</v>
      </c>
      <c r="F997" s="90">
        <v>45413</v>
      </c>
      <c r="G997" s="90">
        <v>51501</v>
      </c>
    </row>
    <row r="998" spans="1:7" x14ac:dyDescent="0.3">
      <c r="A998" t="s">
        <v>1219</v>
      </c>
      <c r="B998" t="s">
        <v>1219</v>
      </c>
      <c r="C998" t="s">
        <v>833</v>
      </c>
      <c r="D998" t="s">
        <v>834</v>
      </c>
      <c r="E998" s="89">
        <v>12.976000000000001</v>
      </c>
      <c r="F998" s="90">
        <v>45413</v>
      </c>
      <c r="G998" s="90">
        <v>51501</v>
      </c>
    </row>
    <row r="999" spans="1:7" x14ac:dyDescent="0.3">
      <c r="A999" t="s">
        <v>1219</v>
      </c>
      <c r="B999" t="s">
        <v>1219</v>
      </c>
      <c r="C999" t="s">
        <v>232</v>
      </c>
      <c r="D999" t="s">
        <v>233</v>
      </c>
      <c r="E999" s="89">
        <v>3.1642000000000001</v>
      </c>
      <c r="F999" s="90">
        <v>45413</v>
      </c>
      <c r="G999" s="90">
        <v>51501</v>
      </c>
    </row>
    <row r="1000" spans="1:7" x14ac:dyDescent="0.3">
      <c r="A1000" t="s">
        <v>1219</v>
      </c>
      <c r="B1000" t="s">
        <v>1219</v>
      </c>
      <c r="C1000" t="s">
        <v>941</v>
      </c>
      <c r="D1000" t="s">
        <v>942</v>
      </c>
      <c r="E1000" s="89">
        <v>3.9668999999999999</v>
      </c>
      <c r="F1000" s="90">
        <v>45413</v>
      </c>
      <c r="G1000" s="90">
        <v>51501</v>
      </c>
    </row>
    <row r="1001" spans="1:7" x14ac:dyDescent="0.3">
      <c r="A1001" t="s">
        <v>1219</v>
      </c>
      <c r="B1001" t="s">
        <v>1219</v>
      </c>
      <c r="C1001" t="s">
        <v>234</v>
      </c>
      <c r="D1001" t="s">
        <v>235</v>
      </c>
      <c r="E1001" s="89">
        <v>5.9492000000000003</v>
      </c>
      <c r="F1001" s="90">
        <v>45413</v>
      </c>
      <c r="G1001" s="90">
        <v>51501</v>
      </c>
    </row>
    <row r="1002" spans="1:7" x14ac:dyDescent="0.3">
      <c r="A1002" t="s">
        <v>1219</v>
      </c>
      <c r="B1002" t="s">
        <v>1219</v>
      </c>
      <c r="C1002" t="s">
        <v>236</v>
      </c>
      <c r="D1002" t="s">
        <v>237</v>
      </c>
      <c r="E1002" s="89">
        <v>0.79190000000000005</v>
      </c>
      <c r="F1002" s="90">
        <v>45413</v>
      </c>
      <c r="G1002" s="90">
        <v>51501</v>
      </c>
    </row>
    <row r="1003" spans="1:7" x14ac:dyDescent="0.3">
      <c r="A1003" t="s">
        <v>1219</v>
      </c>
      <c r="B1003" t="s">
        <v>1219</v>
      </c>
      <c r="C1003" t="s">
        <v>238</v>
      </c>
      <c r="D1003" t="s">
        <v>239</v>
      </c>
      <c r="E1003" s="89">
        <v>9.9974000000000007</v>
      </c>
      <c r="F1003" s="90">
        <v>45413</v>
      </c>
      <c r="G1003" s="90">
        <v>51501</v>
      </c>
    </row>
    <row r="1004" spans="1:7" x14ac:dyDescent="0.3">
      <c r="A1004" t="s">
        <v>1219</v>
      </c>
      <c r="B1004" t="s">
        <v>1219</v>
      </c>
      <c r="C1004" t="s">
        <v>195</v>
      </c>
      <c r="D1004" t="s">
        <v>196</v>
      </c>
      <c r="E1004" s="89">
        <v>12.8085</v>
      </c>
      <c r="F1004" s="90">
        <v>45413</v>
      </c>
      <c r="G1004" s="90">
        <v>51501</v>
      </c>
    </row>
    <row r="1005" spans="1:7" x14ac:dyDescent="0.3">
      <c r="A1005" t="s">
        <v>1219</v>
      </c>
      <c r="B1005" t="s">
        <v>1219</v>
      </c>
      <c r="C1005" t="s">
        <v>197</v>
      </c>
      <c r="D1005" t="s">
        <v>198</v>
      </c>
      <c r="E1005" s="89">
        <v>14.407999999999999</v>
      </c>
      <c r="F1005" s="90">
        <v>45413</v>
      </c>
      <c r="G1005" s="90">
        <v>51501</v>
      </c>
    </row>
    <row r="1006" spans="1:7" x14ac:dyDescent="0.3">
      <c r="A1006" t="s">
        <v>1219</v>
      </c>
      <c r="B1006" t="s">
        <v>1219</v>
      </c>
      <c r="C1006" t="s">
        <v>835</v>
      </c>
      <c r="D1006" t="s">
        <v>836</v>
      </c>
      <c r="E1006" s="89">
        <v>2.16</v>
      </c>
      <c r="F1006" s="90">
        <v>45413</v>
      </c>
      <c r="G1006" s="90">
        <v>51501</v>
      </c>
    </row>
    <row r="1007" spans="1:7" x14ac:dyDescent="0.3">
      <c r="A1007" t="s">
        <v>1219</v>
      </c>
      <c r="B1007" t="s">
        <v>1219</v>
      </c>
      <c r="C1007" t="s">
        <v>837</v>
      </c>
      <c r="D1007" t="s">
        <v>838</v>
      </c>
      <c r="E1007" s="89">
        <v>15.3695</v>
      </c>
      <c r="F1007" s="90">
        <v>45413</v>
      </c>
      <c r="G1007" s="90">
        <v>51501</v>
      </c>
    </row>
    <row r="1008" spans="1:7" x14ac:dyDescent="0.3">
      <c r="A1008" t="s">
        <v>1219</v>
      </c>
      <c r="B1008" t="s">
        <v>1219</v>
      </c>
      <c r="C1008" t="s">
        <v>240</v>
      </c>
      <c r="D1008" t="s">
        <v>241</v>
      </c>
      <c r="E1008" s="89">
        <v>3.9577</v>
      </c>
      <c r="F1008" s="90">
        <v>45413</v>
      </c>
      <c r="G1008" s="90">
        <v>51501</v>
      </c>
    </row>
    <row r="1009" spans="1:7" x14ac:dyDescent="0.3">
      <c r="A1009" t="s">
        <v>1219</v>
      </c>
      <c r="B1009" t="s">
        <v>1219</v>
      </c>
      <c r="C1009" t="s">
        <v>943</v>
      </c>
      <c r="D1009" t="s">
        <v>944</v>
      </c>
      <c r="E1009" s="89">
        <v>3.9685999999999999</v>
      </c>
      <c r="F1009" s="90">
        <v>45413</v>
      </c>
      <c r="G1009" s="90">
        <v>51501</v>
      </c>
    </row>
    <row r="1010" spans="1:7" x14ac:dyDescent="0.3">
      <c r="A1010" t="s">
        <v>1219</v>
      </c>
      <c r="B1010" t="s">
        <v>1219</v>
      </c>
      <c r="C1010" t="s">
        <v>242</v>
      </c>
      <c r="D1010" t="s">
        <v>243</v>
      </c>
      <c r="E1010" s="89">
        <v>4.2374000000000001</v>
      </c>
      <c r="F1010" s="90">
        <v>45413</v>
      </c>
      <c r="G1010" s="90">
        <v>51501</v>
      </c>
    </row>
    <row r="1011" spans="1:7" x14ac:dyDescent="0.3">
      <c r="A1011" t="s">
        <v>1219</v>
      </c>
      <c r="B1011" t="s">
        <v>1219</v>
      </c>
      <c r="C1011" t="s">
        <v>244</v>
      </c>
      <c r="D1011" t="s">
        <v>245</v>
      </c>
      <c r="E1011" s="89">
        <v>5.2896999999999998</v>
      </c>
      <c r="F1011" s="90">
        <v>45413</v>
      </c>
      <c r="G1011" s="90">
        <v>51501</v>
      </c>
    </row>
    <row r="1012" spans="1:7" x14ac:dyDescent="0.3">
      <c r="A1012" t="s">
        <v>1219</v>
      </c>
      <c r="B1012" t="s">
        <v>1219</v>
      </c>
      <c r="C1012" t="s">
        <v>945</v>
      </c>
      <c r="D1012" t="s">
        <v>946</v>
      </c>
      <c r="E1012" s="89">
        <v>7.9321000000000002</v>
      </c>
      <c r="F1012" s="90">
        <v>45413</v>
      </c>
      <c r="G1012" s="90">
        <v>51501</v>
      </c>
    </row>
    <row r="1013" spans="1:7" x14ac:dyDescent="0.3">
      <c r="A1013" t="s">
        <v>1219</v>
      </c>
      <c r="B1013" t="s">
        <v>1219</v>
      </c>
      <c r="C1013" t="s">
        <v>246</v>
      </c>
      <c r="D1013" t="s">
        <v>247</v>
      </c>
      <c r="E1013" s="89">
        <v>10.5854</v>
      </c>
      <c r="F1013" s="90">
        <v>45413</v>
      </c>
      <c r="G1013" s="90">
        <v>51501</v>
      </c>
    </row>
    <row r="1014" spans="1:7" x14ac:dyDescent="0.3">
      <c r="A1014" t="s">
        <v>1219</v>
      </c>
      <c r="B1014" t="s">
        <v>1219</v>
      </c>
      <c r="C1014" t="s">
        <v>843</v>
      </c>
      <c r="D1014" t="s">
        <v>844</v>
      </c>
      <c r="E1014" s="89">
        <v>13.326000000000001</v>
      </c>
      <c r="F1014" s="90">
        <v>45413</v>
      </c>
      <c r="G1014" s="90">
        <v>51501</v>
      </c>
    </row>
    <row r="1015" spans="1:7" x14ac:dyDescent="0.3">
      <c r="A1015" t="s">
        <v>1219</v>
      </c>
      <c r="B1015" t="s">
        <v>1219</v>
      </c>
      <c r="C1015" t="s">
        <v>199</v>
      </c>
      <c r="D1015" t="s">
        <v>200</v>
      </c>
      <c r="E1015" s="89">
        <v>0.26390000000000002</v>
      </c>
      <c r="F1015" s="90">
        <v>45413</v>
      </c>
      <c r="G1015" s="90">
        <v>51501</v>
      </c>
    </row>
    <row r="1016" spans="1:7" x14ac:dyDescent="0.3">
      <c r="A1016" t="s">
        <v>1219</v>
      </c>
      <c r="B1016" t="s">
        <v>1219</v>
      </c>
      <c r="C1016" t="s">
        <v>201</v>
      </c>
      <c r="D1016" t="s">
        <v>202</v>
      </c>
      <c r="E1016" s="89">
        <v>2.6463000000000001</v>
      </c>
      <c r="F1016" s="90">
        <v>45413</v>
      </c>
      <c r="G1016" s="90">
        <v>51501</v>
      </c>
    </row>
    <row r="1017" spans="1:7" x14ac:dyDescent="0.3">
      <c r="A1017" t="s">
        <v>1219</v>
      </c>
      <c r="B1017" t="s">
        <v>1219</v>
      </c>
      <c r="C1017" t="s">
        <v>203</v>
      </c>
      <c r="D1017" t="s">
        <v>204</v>
      </c>
      <c r="E1017" s="89">
        <v>16.010000000000002</v>
      </c>
      <c r="F1017" s="90">
        <v>45413</v>
      </c>
      <c r="G1017" s="90">
        <v>51501</v>
      </c>
    </row>
    <row r="1018" spans="1:7" x14ac:dyDescent="0.3">
      <c r="A1018" t="s">
        <v>1219</v>
      </c>
      <c r="B1018" t="s">
        <v>1219</v>
      </c>
      <c r="C1018" t="s">
        <v>1262</v>
      </c>
      <c r="D1018" t="s">
        <v>1314</v>
      </c>
      <c r="E1018" s="89">
        <v>139.70429999999999</v>
      </c>
      <c r="F1018" s="90">
        <v>45413</v>
      </c>
      <c r="G1018" s="90">
        <v>51501</v>
      </c>
    </row>
    <row r="1019" spans="1:7" x14ac:dyDescent="0.3">
      <c r="A1019" t="s">
        <v>1219</v>
      </c>
      <c r="B1019" t="s">
        <v>1219</v>
      </c>
      <c r="C1019" t="s">
        <v>1263</v>
      </c>
      <c r="D1019" t="s">
        <v>1315</v>
      </c>
      <c r="E1019" s="89">
        <v>3.8140999999999998</v>
      </c>
      <c r="F1019" s="90">
        <v>45413</v>
      </c>
      <c r="G1019" s="90">
        <v>51501</v>
      </c>
    </row>
    <row r="1020" spans="1:7" x14ac:dyDescent="0.3">
      <c r="A1020" t="s">
        <v>1219</v>
      </c>
      <c r="B1020" t="s">
        <v>1219</v>
      </c>
      <c r="C1020" t="s">
        <v>205</v>
      </c>
      <c r="D1020" t="s">
        <v>206</v>
      </c>
      <c r="E1020" s="89">
        <v>19.212599999999998</v>
      </c>
      <c r="F1020" s="90">
        <v>45413</v>
      </c>
      <c r="G1020" s="90">
        <v>51501</v>
      </c>
    </row>
    <row r="1021" spans="1:7" x14ac:dyDescent="0.3">
      <c r="A1021" t="s">
        <v>1219</v>
      </c>
      <c r="B1021" t="s">
        <v>1219</v>
      </c>
      <c r="C1021" t="s">
        <v>207</v>
      </c>
      <c r="D1021" t="s">
        <v>208</v>
      </c>
      <c r="E1021" s="89">
        <v>2.7547000000000001</v>
      </c>
      <c r="F1021" s="90">
        <v>45413</v>
      </c>
      <c r="G1021" s="90">
        <v>51501</v>
      </c>
    </row>
    <row r="1022" spans="1:7" x14ac:dyDescent="0.3">
      <c r="A1022" t="s">
        <v>1219</v>
      </c>
      <c r="B1022" t="s">
        <v>1219</v>
      </c>
      <c r="C1022" t="s">
        <v>839</v>
      </c>
      <c r="D1022" t="s">
        <v>840</v>
      </c>
      <c r="E1022" s="89">
        <v>2.8372999999999999</v>
      </c>
      <c r="F1022" s="90">
        <v>45413</v>
      </c>
      <c r="G1022" s="90">
        <v>51501</v>
      </c>
    </row>
    <row r="1023" spans="1:7" x14ac:dyDescent="0.3">
      <c r="A1023" t="s">
        <v>1219</v>
      </c>
      <c r="B1023" t="s">
        <v>1219</v>
      </c>
      <c r="C1023" t="s">
        <v>248</v>
      </c>
      <c r="D1023" t="s">
        <v>249</v>
      </c>
      <c r="E1023" s="89">
        <v>5.9366000000000003</v>
      </c>
      <c r="F1023" s="90">
        <v>45413</v>
      </c>
      <c r="G1023" s="90">
        <v>51501</v>
      </c>
    </row>
    <row r="1024" spans="1:7" x14ac:dyDescent="0.3">
      <c r="A1024" t="s">
        <v>1219</v>
      </c>
      <c r="B1024" t="s">
        <v>1219</v>
      </c>
      <c r="C1024" t="s">
        <v>947</v>
      </c>
      <c r="D1024" t="s">
        <v>948</v>
      </c>
      <c r="E1024" s="89">
        <v>7.9348000000000001</v>
      </c>
      <c r="F1024" s="90">
        <v>45413</v>
      </c>
      <c r="G1024" s="90">
        <v>51501</v>
      </c>
    </row>
    <row r="1025" spans="1:7" x14ac:dyDescent="0.3">
      <c r="A1025" t="s">
        <v>1219</v>
      </c>
      <c r="B1025" t="s">
        <v>1219</v>
      </c>
      <c r="C1025" t="s">
        <v>250</v>
      </c>
      <c r="D1025" t="s">
        <v>251</v>
      </c>
      <c r="E1025" s="89">
        <v>1.5846</v>
      </c>
      <c r="F1025" s="90">
        <v>45413</v>
      </c>
      <c r="G1025" s="90">
        <v>51501</v>
      </c>
    </row>
    <row r="1026" spans="1:7" x14ac:dyDescent="0.3">
      <c r="A1026" t="s">
        <v>1219</v>
      </c>
      <c r="B1026" t="s">
        <v>1219</v>
      </c>
      <c r="C1026" t="s">
        <v>252</v>
      </c>
      <c r="D1026" t="s">
        <v>253</v>
      </c>
      <c r="E1026" s="89">
        <v>19.994399999999999</v>
      </c>
      <c r="F1026" s="90">
        <v>45413</v>
      </c>
      <c r="G1026" s="90">
        <v>51501</v>
      </c>
    </row>
    <row r="1027" spans="1:7" x14ac:dyDescent="0.3">
      <c r="A1027" t="s">
        <v>1219</v>
      </c>
      <c r="B1027" t="s">
        <v>1219</v>
      </c>
      <c r="C1027" t="s">
        <v>209</v>
      </c>
      <c r="D1027" t="s">
        <v>210</v>
      </c>
      <c r="E1027" s="89">
        <v>3.1107</v>
      </c>
      <c r="F1027" s="90">
        <v>45413</v>
      </c>
      <c r="G1027" s="90">
        <v>51501</v>
      </c>
    </row>
    <row r="1028" spans="1:7" x14ac:dyDescent="0.3">
      <c r="A1028" t="s">
        <v>1219</v>
      </c>
      <c r="B1028" t="s">
        <v>1219</v>
      </c>
      <c r="C1028" t="s">
        <v>211</v>
      </c>
      <c r="D1028" t="s">
        <v>212</v>
      </c>
      <c r="E1028" s="89">
        <v>3.1987999999999999</v>
      </c>
      <c r="F1028" s="90">
        <v>45413</v>
      </c>
      <c r="G1028" s="90">
        <v>51501</v>
      </c>
    </row>
    <row r="1029" spans="1:7" x14ac:dyDescent="0.3">
      <c r="A1029" t="s">
        <v>1219</v>
      </c>
      <c r="B1029" t="s">
        <v>1219</v>
      </c>
      <c r="C1029" t="s">
        <v>213</v>
      </c>
      <c r="D1029" t="s">
        <v>214</v>
      </c>
      <c r="E1029" s="89">
        <v>3.2429000000000001</v>
      </c>
      <c r="F1029" s="90">
        <v>45413</v>
      </c>
      <c r="G1029" s="90">
        <v>51501</v>
      </c>
    </row>
    <row r="1030" spans="1:7" x14ac:dyDescent="0.3">
      <c r="A1030" t="s">
        <v>1219</v>
      </c>
      <c r="B1030" t="s">
        <v>1219</v>
      </c>
      <c r="C1030" t="s">
        <v>215</v>
      </c>
      <c r="D1030" t="s">
        <v>216</v>
      </c>
      <c r="E1030" s="89">
        <v>3.3323999999999998</v>
      </c>
      <c r="F1030" s="90">
        <v>45413</v>
      </c>
      <c r="G1030" s="90">
        <v>51501</v>
      </c>
    </row>
    <row r="1031" spans="1:7" x14ac:dyDescent="0.3">
      <c r="A1031" t="s">
        <v>1219</v>
      </c>
      <c r="B1031" t="s">
        <v>1219</v>
      </c>
      <c r="C1031" t="s">
        <v>841</v>
      </c>
      <c r="D1031" t="s">
        <v>842</v>
      </c>
      <c r="E1031" s="89">
        <v>26.659099999999999</v>
      </c>
      <c r="F1031" s="90">
        <v>45413</v>
      </c>
      <c r="G1031" s="90">
        <v>51501</v>
      </c>
    </row>
    <row r="1032" spans="1:7" x14ac:dyDescent="0.3">
      <c r="A1032" t="s">
        <v>1219</v>
      </c>
      <c r="B1032" t="s">
        <v>1219</v>
      </c>
      <c r="C1032" t="s">
        <v>217</v>
      </c>
      <c r="D1032" t="s">
        <v>218</v>
      </c>
      <c r="E1032" s="89">
        <v>3.4306999999999999</v>
      </c>
      <c r="F1032" s="90">
        <v>45413</v>
      </c>
      <c r="G1032" s="90">
        <v>51501</v>
      </c>
    </row>
    <row r="1033" spans="1:7" x14ac:dyDescent="0.3">
      <c r="A1033" t="s">
        <v>1219</v>
      </c>
      <c r="B1033" t="s">
        <v>1219</v>
      </c>
      <c r="C1033" t="s">
        <v>219</v>
      </c>
      <c r="D1033" t="s">
        <v>220</v>
      </c>
      <c r="E1033" s="89">
        <v>24.814399999999999</v>
      </c>
      <c r="F1033" s="90">
        <v>45413</v>
      </c>
      <c r="G1033" s="90">
        <v>51501</v>
      </c>
    </row>
    <row r="1034" spans="1:7" x14ac:dyDescent="0.3">
      <c r="A1034" t="s">
        <v>1219</v>
      </c>
      <c r="B1034" t="s">
        <v>1219</v>
      </c>
      <c r="C1034" t="s">
        <v>1465</v>
      </c>
      <c r="D1034" t="s">
        <v>1466</v>
      </c>
      <c r="E1034" s="89">
        <v>2.6048</v>
      </c>
      <c r="F1034" s="335" t="s">
        <v>1467</v>
      </c>
      <c r="G1034" s="335" t="s">
        <v>1468</v>
      </c>
    </row>
    <row r="1035" spans="1:7" x14ac:dyDescent="0.3">
      <c r="A1035" t="s">
        <v>1219</v>
      </c>
      <c r="B1035" t="s">
        <v>1219</v>
      </c>
      <c r="C1035" t="s">
        <v>1469</v>
      </c>
      <c r="D1035" t="s">
        <v>1470</v>
      </c>
      <c r="E1035" s="89">
        <v>10.1784</v>
      </c>
      <c r="F1035" s="335" t="s">
        <v>1471</v>
      </c>
      <c r="G1035" s="335" t="s">
        <v>1468</v>
      </c>
    </row>
    <row r="1036" spans="1:7" x14ac:dyDescent="0.3">
      <c r="A1036" t="s">
        <v>1219</v>
      </c>
      <c r="B1036" t="s">
        <v>1219</v>
      </c>
      <c r="C1036" t="s">
        <v>1472</v>
      </c>
      <c r="D1036" t="s">
        <v>1473</v>
      </c>
      <c r="E1036" s="89">
        <v>5.3689999999999998</v>
      </c>
      <c r="F1036" s="335" t="s">
        <v>1474</v>
      </c>
      <c r="G1036" s="335" t="s">
        <v>1468</v>
      </c>
    </row>
    <row r="1037" spans="1:7" x14ac:dyDescent="0.3">
      <c r="A1037" t="s">
        <v>1219</v>
      </c>
      <c r="B1037" t="s">
        <v>1219</v>
      </c>
      <c r="C1037" t="s">
        <v>1475</v>
      </c>
      <c r="D1037" t="s">
        <v>1476</v>
      </c>
      <c r="E1037" s="89">
        <v>3.71</v>
      </c>
      <c r="F1037" s="336" t="s">
        <v>1477</v>
      </c>
      <c r="G1037" s="336" t="s">
        <v>1468</v>
      </c>
    </row>
    <row r="1038" spans="1:7" x14ac:dyDescent="0.3">
      <c r="A1038" t="s">
        <v>1219</v>
      </c>
      <c r="B1038" t="s">
        <v>1219</v>
      </c>
      <c r="C1038" t="s">
        <v>1478</v>
      </c>
      <c r="D1038" t="s">
        <v>1479</v>
      </c>
      <c r="E1038" s="89">
        <v>7.6329000000000002</v>
      </c>
      <c r="F1038" s="335" t="s">
        <v>1480</v>
      </c>
      <c r="G1038" s="335" t="s">
        <v>1468</v>
      </c>
    </row>
    <row r="1039" spans="1:7" x14ac:dyDescent="0.3">
      <c r="F1039" s="90"/>
      <c r="G1039" s="90"/>
    </row>
    <row r="1040" spans="1:7" x14ac:dyDescent="0.3">
      <c r="F1040" s="90"/>
      <c r="G1040" s="90"/>
    </row>
    <row r="1041" spans="6:7" x14ac:dyDescent="0.3">
      <c r="F1041" s="90"/>
      <c r="G1041" s="90"/>
    </row>
    <row r="1042" spans="6:7" x14ac:dyDescent="0.3">
      <c r="F1042" s="90"/>
      <c r="G1042" s="90"/>
    </row>
    <row r="1043" spans="6:7" x14ac:dyDescent="0.3">
      <c r="F1043" s="90"/>
      <c r="G1043" s="90"/>
    </row>
    <row r="1044" spans="6:7" x14ac:dyDescent="0.3">
      <c r="F1044" s="90"/>
      <c r="G1044" s="90"/>
    </row>
    <row r="1045" spans="6:7" x14ac:dyDescent="0.3">
      <c r="F1045" s="90"/>
      <c r="G1045" s="90"/>
    </row>
    <row r="1046" spans="6:7" x14ac:dyDescent="0.3">
      <c r="F1046" s="90"/>
      <c r="G1046" s="90"/>
    </row>
    <row r="1047" spans="6:7" x14ac:dyDescent="0.3">
      <c r="F1047" s="90"/>
      <c r="G1047" s="90"/>
    </row>
    <row r="1048" spans="6:7" x14ac:dyDescent="0.3">
      <c r="F1048" s="90"/>
      <c r="G1048" s="90"/>
    </row>
    <row r="1049" spans="6:7" x14ac:dyDescent="0.3">
      <c r="F1049" s="90"/>
      <c r="G1049" s="90"/>
    </row>
    <row r="1050" spans="6:7" x14ac:dyDescent="0.3">
      <c r="F1050" s="90"/>
      <c r="G1050" s="90"/>
    </row>
    <row r="1051" spans="6:7" x14ac:dyDescent="0.3">
      <c r="F1051" s="90"/>
      <c r="G1051" s="90"/>
    </row>
    <row r="1052" spans="6:7" x14ac:dyDescent="0.3">
      <c r="F1052" s="90"/>
      <c r="G1052" s="90"/>
    </row>
    <row r="1053" spans="6:7" x14ac:dyDescent="0.3">
      <c r="F1053" s="90"/>
      <c r="G1053" s="90"/>
    </row>
    <row r="1054" spans="6:7" x14ac:dyDescent="0.3">
      <c r="F1054" s="90"/>
      <c r="G1054" s="90"/>
    </row>
    <row r="1055" spans="6:7" x14ac:dyDescent="0.3">
      <c r="F1055" s="90"/>
      <c r="G1055" s="90"/>
    </row>
    <row r="1056" spans="6:7" x14ac:dyDescent="0.3">
      <c r="F1056" s="90"/>
      <c r="G1056" s="90"/>
    </row>
    <row r="1057" spans="6:7" x14ac:dyDescent="0.3">
      <c r="F1057" s="90"/>
      <c r="G1057" s="90"/>
    </row>
    <row r="1058" spans="6:7" x14ac:dyDescent="0.3">
      <c r="F1058" s="90"/>
      <c r="G1058" s="90"/>
    </row>
    <row r="1059" spans="6:7" x14ac:dyDescent="0.3">
      <c r="F1059" s="90"/>
      <c r="G1059" s="90"/>
    </row>
    <row r="1060" spans="6:7" x14ac:dyDescent="0.3">
      <c r="F1060" s="90"/>
      <c r="G1060" s="90"/>
    </row>
    <row r="1061" spans="6:7" x14ac:dyDescent="0.3">
      <c r="F1061" s="90"/>
      <c r="G1061" s="90"/>
    </row>
    <row r="1062" spans="6:7" x14ac:dyDescent="0.3">
      <c r="F1062" s="90"/>
      <c r="G1062" s="90"/>
    </row>
    <row r="1063" spans="6:7" x14ac:dyDescent="0.3">
      <c r="F1063" s="90"/>
      <c r="G1063" s="90"/>
    </row>
    <row r="1064" spans="6:7" x14ac:dyDescent="0.3">
      <c r="F1064" s="90"/>
      <c r="G1064" s="90"/>
    </row>
    <row r="1065" spans="6:7" x14ac:dyDescent="0.3">
      <c r="F1065" s="90"/>
      <c r="G1065" s="90"/>
    </row>
    <row r="1066" spans="6:7" x14ac:dyDescent="0.3">
      <c r="F1066" s="90"/>
      <c r="G1066" s="90"/>
    </row>
    <row r="1067" spans="6:7" x14ac:dyDescent="0.3">
      <c r="F1067" s="90"/>
      <c r="G1067" s="90"/>
    </row>
    <row r="1068" spans="6:7" x14ac:dyDescent="0.3">
      <c r="F1068" s="90"/>
      <c r="G1068" s="90"/>
    </row>
    <row r="1069" spans="6:7" x14ac:dyDescent="0.3">
      <c r="F1069" s="90"/>
      <c r="G1069" s="90"/>
    </row>
    <row r="1070" spans="6:7" x14ac:dyDescent="0.3">
      <c r="F1070" s="90"/>
      <c r="G1070" s="90"/>
    </row>
    <row r="1071" spans="6:7" x14ac:dyDescent="0.3">
      <c r="F1071" s="90"/>
      <c r="G1071" s="90"/>
    </row>
    <row r="1072" spans="6:7" x14ac:dyDescent="0.3">
      <c r="F1072" s="90"/>
      <c r="G1072" s="90"/>
    </row>
    <row r="1073" spans="6:7" x14ac:dyDescent="0.3">
      <c r="F1073" s="90"/>
      <c r="G1073" s="90"/>
    </row>
    <row r="1074" spans="6:7" x14ac:dyDescent="0.3">
      <c r="F1074" s="90"/>
      <c r="G1074" s="90"/>
    </row>
    <row r="1075" spans="6:7" x14ac:dyDescent="0.3">
      <c r="F1075" s="90"/>
      <c r="G1075" s="90"/>
    </row>
    <row r="1076" spans="6:7" x14ac:dyDescent="0.3">
      <c r="F1076" s="90"/>
      <c r="G1076" s="90"/>
    </row>
    <row r="1077" spans="6:7" x14ac:dyDescent="0.3">
      <c r="F1077" s="90"/>
      <c r="G1077" s="90"/>
    </row>
    <row r="1078" spans="6:7" x14ac:dyDescent="0.3">
      <c r="F1078" s="90"/>
      <c r="G1078" s="90"/>
    </row>
    <row r="1079" spans="6:7" x14ac:dyDescent="0.3">
      <c r="F1079" s="90"/>
      <c r="G1079" s="90"/>
    </row>
    <row r="1080" spans="6:7" x14ac:dyDescent="0.3">
      <c r="F1080" s="90"/>
      <c r="G1080" s="90"/>
    </row>
    <row r="1081" spans="6:7" x14ac:dyDescent="0.3">
      <c r="F1081" s="90"/>
      <c r="G1081" s="90"/>
    </row>
    <row r="1082" spans="6:7" x14ac:dyDescent="0.3">
      <c r="F1082" s="90"/>
      <c r="G1082" s="90"/>
    </row>
    <row r="1083" spans="6:7" x14ac:dyDescent="0.3">
      <c r="F1083" s="90"/>
      <c r="G1083" s="90"/>
    </row>
    <row r="1084" spans="6:7" x14ac:dyDescent="0.3">
      <c r="F1084" s="90"/>
      <c r="G1084" s="90"/>
    </row>
    <row r="1085" spans="6:7" x14ac:dyDescent="0.3">
      <c r="F1085" s="90"/>
      <c r="G1085" s="90"/>
    </row>
    <row r="1086" spans="6:7" x14ac:dyDescent="0.3">
      <c r="F1086" s="90"/>
      <c r="G1086" s="90"/>
    </row>
    <row r="1087" spans="6:7" x14ac:dyDescent="0.3">
      <c r="F1087" s="90"/>
      <c r="G1087" s="90"/>
    </row>
    <row r="1088" spans="6:7" x14ac:dyDescent="0.3">
      <c r="F1088" s="90"/>
      <c r="G1088" s="90"/>
    </row>
    <row r="1089" spans="6:7" x14ac:dyDescent="0.3">
      <c r="F1089" s="90"/>
      <c r="G1089" s="90"/>
    </row>
    <row r="1090" spans="6:7" x14ac:dyDescent="0.3">
      <c r="F1090" s="90"/>
      <c r="G1090" s="90"/>
    </row>
    <row r="1091" spans="6:7" x14ac:dyDescent="0.3">
      <c r="F1091" s="90"/>
      <c r="G1091" s="90"/>
    </row>
    <row r="1092" spans="6:7" x14ac:dyDescent="0.3">
      <c r="F1092" s="90"/>
      <c r="G1092" s="90"/>
    </row>
    <row r="1093" spans="6:7" x14ac:dyDescent="0.3">
      <c r="F1093" s="90"/>
      <c r="G1093" s="90"/>
    </row>
    <row r="1094" spans="6:7" x14ac:dyDescent="0.3">
      <c r="F1094" s="90"/>
      <c r="G1094" s="90"/>
    </row>
    <row r="1095" spans="6:7" x14ac:dyDescent="0.3">
      <c r="F1095" s="90"/>
      <c r="G1095" s="90"/>
    </row>
    <row r="1096" spans="6:7" x14ac:dyDescent="0.3">
      <c r="F1096" s="90"/>
      <c r="G1096" s="90"/>
    </row>
    <row r="1097" spans="6:7" x14ac:dyDescent="0.3">
      <c r="F1097" s="90"/>
      <c r="G1097" s="90"/>
    </row>
    <row r="1098" spans="6:7" x14ac:dyDescent="0.3">
      <c r="F1098" s="90"/>
      <c r="G1098" s="90"/>
    </row>
    <row r="1099" spans="6:7" x14ac:dyDescent="0.3">
      <c r="F1099" s="90"/>
      <c r="G1099" s="90"/>
    </row>
    <row r="1100" spans="6:7" x14ac:dyDescent="0.3">
      <c r="F1100" s="90"/>
      <c r="G1100" s="90"/>
    </row>
    <row r="1101" spans="6:7" x14ac:dyDescent="0.3">
      <c r="F1101" s="90"/>
      <c r="G1101" s="90"/>
    </row>
    <row r="1102" spans="6:7" x14ac:dyDescent="0.3">
      <c r="F1102" s="90"/>
      <c r="G1102" s="90"/>
    </row>
    <row r="1103" spans="6:7" x14ac:dyDescent="0.3">
      <c r="F1103" s="90"/>
      <c r="G1103" s="90"/>
    </row>
    <row r="1104" spans="6:7" x14ac:dyDescent="0.3">
      <c r="F1104" s="90"/>
      <c r="G1104" s="90"/>
    </row>
    <row r="1105" spans="6:7" x14ac:dyDescent="0.3">
      <c r="F1105" s="90"/>
      <c r="G1105" s="90"/>
    </row>
    <row r="1106" spans="6:7" x14ac:dyDescent="0.3">
      <c r="F1106" s="90"/>
      <c r="G1106" s="90"/>
    </row>
    <row r="1107" spans="6:7" x14ac:dyDescent="0.3">
      <c r="F1107" s="90"/>
      <c r="G1107" s="90"/>
    </row>
    <row r="1108" spans="6:7" x14ac:dyDescent="0.3">
      <c r="F1108" s="90"/>
      <c r="G1108" s="90"/>
    </row>
    <row r="1109" spans="6:7" x14ac:dyDescent="0.3">
      <c r="F1109" s="90"/>
      <c r="G1109" s="90"/>
    </row>
    <row r="1110" spans="6:7" x14ac:dyDescent="0.3">
      <c r="F1110" s="90"/>
      <c r="G1110" s="90"/>
    </row>
    <row r="1111" spans="6:7" x14ac:dyDescent="0.3">
      <c r="F1111" s="90"/>
      <c r="G1111" s="90"/>
    </row>
    <row r="1112" spans="6:7" x14ac:dyDescent="0.3">
      <c r="F1112" s="90"/>
      <c r="G1112" s="90"/>
    </row>
    <row r="1113" spans="6:7" x14ac:dyDescent="0.3">
      <c r="F1113" s="90"/>
      <c r="G1113" s="90"/>
    </row>
    <row r="1114" spans="6:7" x14ac:dyDescent="0.3">
      <c r="F1114" s="90"/>
      <c r="G1114" s="90"/>
    </row>
    <row r="1115" spans="6:7" x14ac:dyDescent="0.3">
      <c r="F1115" s="90"/>
      <c r="G1115" s="90"/>
    </row>
    <row r="1116" spans="6:7" x14ac:dyDescent="0.3">
      <c r="F1116" s="90"/>
      <c r="G1116" s="90"/>
    </row>
    <row r="1117" spans="6:7" x14ac:dyDescent="0.3">
      <c r="F1117" s="90"/>
      <c r="G1117" s="90"/>
    </row>
    <row r="1118" spans="6:7" x14ac:dyDescent="0.3">
      <c r="F1118" s="90"/>
      <c r="G1118" s="90"/>
    </row>
    <row r="1119" spans="6:7" x14ac:dyDescent="0.3">
      <c r="F1119" s="90"/>
      <c r="G1119" s="90"/>
    </row>
    <row r="1120" spans="6:7" x14ac:dyDescent="0.3">
      <c r="F1120" s="90"/>
      <c r="G1120" s="90"/>
    </row>
    <row r="1121" spans="6:7" x14ac:dyDescent="0.3">
      <c r="F1121" s="90"/>
      <c r="G1121" s="90"/>
    </row>
    <row r="1122" spans="6:7" x14ac:dyDescent="0.3">
      <c r="F1122" s="90"/>
      <c r="G1122" s="90"/>
    </row>
    <row r="1123" spans="6:7" x14ac:dyDescent="0.3">
      <c r="F1123" s="90"/>
      <c r="G1123" s="90"/>
    </row>
    <row r="1124" spans="6:7" x14ac:dyDescent="0.3">
      <c r="F1124" s="90"/>
      <c r="G1124" s="90"/>
    </row>
    <row r="1125" spans="6:7" x14ac:dyDescent="0.3">
      <c r="F1125" s="90"/>
      <c r="G1125" s="90"/>
    </row>
    <row r="1126" spans="6:7" x14ac:dyDescent="0.3">
      <c r="F1126" s="90"/>
      <c r="G1126" s="90"/>
    </row>
    <row r="1127" spans="6:7" x14ac:dyDescent="0.3">
      <c r="F1127" s="90"/>
      <c r="G1127" s="90"/>
    </row>
    <row r="1128" spans="6:7" x14ac:dyDescent="0.3">
      <c r="F1128" s="90"/>
      <c r="G1128" s="90"/>
    </row>
    <row r="1129" spans="6:7" x14ac:dyDescent="0.3">
      <c r="F1129" s="90"/>
      <c r="G1129" s="90"/>
    </row>
    <row r="1130" spans="6:7" x14ac:dyDescent="0.3">
      <c r="F1130" s="90"/>
      <c r="G1130" s="90"/>
    </row>
    <row r="1131" spans="6:7" x14ac:dyDescent="0.3">
      <c r="F1131" s="90"/>
      <c r="G1131" s="90"/>
    </row>
    <row r="1132" spans="6:7" x14ac:dyDescent="0.3">
      <c r="F1132" s="90"/>
      <c r="G1132" s="90"/>
    </row>
    <row r="1133" spans="6:7" x14ac:dyDescent="0.3">
      <c r="F1133" s="90"/>
      <c r="G1133" s="90"/>
    </row>
    <row r="1134" spans="6:7" x14ac:dyDescent="0.3">
      <c r="F1134" s="90"/>
      <c r="G1134" s="90"/>
    </row>
    <row r="1135" spans="6:7" x14ac:dyDescent="0.3">
      <c r="F1135" s="90"/>
      <c r="G1135" s="90"/>
    </row>
    <row r="1136" spans="6:7" x14ac:dyDescent="0.3">
      <c r="F1136" s="90"/>
      <c r="G1136" s="90"/>
    </row>
    <row r="1137" spans="6:7" x14ac:dyDescent="0.3">
      <c r="F1137" s="90"/>
      <c r="G1137" s="90"/>
    </row>
    <row r="1138" spans="6:7" x14ac:dyDescent="0.3">
      <c r="F1138" s="90"/>
      <c r="G1138" s="90"/>
    </row>
    <row r="1139" spans="6:7" x14ac:dyDescent="0.3">
      <c r="F1139" s="90"/>
      <c r="G1139" s="90"/>
    </row>
    <row r="1140" spans="6:7" x14ac:dyDescent="0.3">
      <c r="F1140" s="90"/>
      <c r="G1140" s="90"/>
    </row>
    <row r="1141" spans="6:7" x14ac:dyDescent="0.3">
      <c r="F1141" s="90"/>
      <c r="G1141" s="90"/>
    </row>
    <row r="1142" spans="6:7" x14ac:dyDescent="0.3">
      <c r="F1142" s="90"/>
      <c r="G1142" s="90"/>
    </row>
    <row r="1143" spans="6:7" x14ac:dyDescent="0.3">
      <c r="F1143" s="90"/>
      <c r="G1143" s="90"/>
    </row>
    <row r="1144" spans="6:7" x14ac:dyDescent="0.3">
      <c r="F1144" s="90"/>
      <c r="G1144" s="90"/>
    </row>
    <row r="1145" spans="6:7" x14ac:dyDescent="0.3">
      <c r="F1145" s="90"/>
      <c r="G1145" s="90"/>
    </row>
    <row r="1146" spans="6:7" x14ac:dyDescent="0.3">
      <c r="F1146" s="90"/>
      <c r="G1146" s="90"/>
    </row>
    <row r="1147" spans="6:7" x14ac:dyDescent="0.3">
      <c r="F1147" s="90"/>
      <c r="G1147" s="90"/>
    </row>
    <row r="1148" spans="6:7" x14ac:dyDescent="0.3">
      <c r="F1148" s="90"/>
      <c r="G1148" s="90"/>
    </row>
    <row r="1149" spans="6:7" x14ac:dyDescent="0.3">
      <c r="F1149" s="90"/>
      <c r="G1149" s="90"/>
    </row>
    <row r="1150" spans="6:7" x14ac:dyDescent="0.3">
      <c r="F1150" s="90"/>
      <c r="G1150" s="90"/>
    </row>
    <row r="1151" spans="6:7" x14ac:dyDescent="0.3">
      <c r="F1151" s="90"/>
      <c r="G1151" s="90"/>
    </row>
    <row r="1152" spans="6:7" x14ac:dyDescent="0.3">
      <c r="F1152" s="90"/>
      <c r="G1152" s="90"/>
    </row>
    <row r="1153" spans="6:7" x14ac:dyDescent="0.3">
      <c r="F1153" s="90"/>
      <c r="G1153" s="90"/>
    </row>
    <row r="1154" spans="6:7" x14ac:dyDescent="0.3">
      <c r="F1154" s="90"/>
      <c r="G1154" s="90"/>
    </row>
    <row r="1155" spans="6:7" x14ac:dyDescent="0.3">
      <c r="F1155" s="90"/>
      <c r="G1155" s="90"/>
    </row>
    <row r="1156" spans="6:7" x14ac:dyDescent="0.3">
      <c r="F1156" s="90"/>
      <c r="G1156" s="90"/>
    </row>
    <row r="1157" spans="6:7" x14ac:dyDescent="0.3">
      <c r="F1157" s="90"/>
      <c r="G1157" s="90"/>
    </row>
    <row r="1158" spans="6:7" x14ac:dyDescent="0.3">
      <c r="F1158" s="90"/>
      <c r="G1158" s="90"/>
    </row>
    <row r="1159" spans="6:7" x14ac:dyDescent="0.3">
      <c r="F1159" s="90"/>
      <c r="G1159" s="90"/>
    </row>
    <row r="1160" spans="6:7" x14ac:dyDescent="0.3">
      <c r="F1160" s="90"/>
      <c r="G1160" s="90"/>
    </row>
    <row r="1161" spans="6:7" x14ac:dyDescent="0.3">
      <c r="F1161" s="90"/>
      <c r="G1161" s="90"/>
    </row>
    <row r="1162" spans="6:7" x14ac:dyDescent="0.3">
      <c r="F1162" s="90"/>
      <c r="G1162" s="90"/>
    </row>
    <row r="1163" spans="6:7" x14ac:dyDescent="0.3">
      <c r="F1163" s="90"/>
      <c r="G1163" s="90"/>
    </row>
    <row r="1164" spans="6:7" x14ac:dyDescent="0.3">
      <c r="F1164" s="90"/>
      <c r="G1164" s="90"/>
    </row>
    <row r="1165" spans="6:7" x14ac:dyDescent="0.3">
      <c r="F1165" s="90"/>
      <c r="G1165" s="90"/>
    </row>
    <row r="1166" spans="6:7" x14ac:dyDescent="0.3">
      <c r="F1166" s="90"/>
      <c r="G1166" s="90"/>
    </row>
    <row r="1167" spans="6:7" x14ac:dyDescent="0.3">
      <c r="F1167" s="90"/>
      <c r="G1167" s="90"/>
    </row>
    <row r="1168" spans="6:7" x14ac:dyDescent="0.3">
      <c r="F1168" s="90"/>
      <c r="G1168" s="90"/>
    </row>
    <row r="1169" spans="6:7" x14ac:dyDescent="0.3">
      <c r="F1169" s="90"/>
      <c r="G1169" s="90"/>
    </row>
    <row r="1170" spans="6:7" x14ac:dyDescent="0.3">
      <c r="F1170" s="90"/>
      <c r="G1170" s="90"/>
    </row>
    <row r="1171" spans="6:7" x14ac:dyDescent="0.3">
      <c r="F1171" s="90"/>
      <c r="G1171" s="90"/>
    </row>
    <row r="1172" spans="6:7" x14ac:dyDescent="0.3">
      <c r="F1172" s="90"/>
      <c r="G1172" s="90"/>
    </row>
    <row r="1173" spans="6:7" x14ac:dyDescent="0.3">
      <c r="F1173" s="90"/>
      <c r="G1173" s="90"/>
    </row>
    <row r="1174" spans="6:7" x14ac:dyDescent="0.3">
      <c r="F1174" s="90"/>
      <c r="G1174" s="90"/>
    </row>
    <row r="1175" spans="6:7" x14ac:dyDescent="0.3">
      <c r="F1175" s="90"/>
      <c r="G1175" s="90"/>
    </row>
    <row r="1176" spans="6:7" x14ac:dyDescent="0.3">
      <c r="F1176" s="90"/>
      <c r="G1176" s="90"/>
    </row>
    <row r="1177" spans="6:7" x14ac:dyDescent="0.3">
      <c r="F1177" s="90"/>
      <c r="G1177" s="90"/>
    </row>
    <row r="1178" spans="6:7" x14ac:dyDescent="0.3">
      <c r="F1178" s="90"/>
      <c r="G1178" s="90"/>
    </row>
    <row r="1179" spans="6:7" x14ac:dyDescent="0.3">
      <c r="F1179" s="90"/>
      <c r="G1179" s="90"/>
    </row>
    <row r="1180" spans="6:7" x14ac:dyDescent="0.3">
      <c r="F1180" s="90"/>
      <c r="G1180" s="90"/>
    </row>
    <row r="1181" spans="6:7" x14ac:dyDescent="0.3">
      <c r="F1181" s="90"/>
      <c r="G1181" s="90"/>
    </row>
    <row r="1182" spans="6:7" x14ac:dyDescent="0.3">
      <c r="F1182" s="90"/>
      <c r="G1182" s="90"/>
    </row>
    <row r="1183" spans="6:7" x14ac:dyDescent="0.3">
      <c r="F1183" s="90"/>
      <c r="G1183" s="90"/>
    </row>
    <row r="1184" spans="6:7" x14ac:dyDescent="0.3">
      <c r="F1184" s="90"/>
      <c r="G1184" s="90"/>
    </row>
    <row r="1185" spans="6:7" x14ac:dyDescent="0.3">
      <c r="F1185" s="90"/>
      <c r="G1185" s="90"/>
    </row>
    <row r="1186" spans="6:7" x14ac:dyDescent="0.3">
      <c r="F1186" s="90"/>
      <c r="G1186" s="90"/>
    </row>
    <row r="1187" spans="6:7" x14ac:dyDescent="0.3">
      <c r="F1187" s="90"/>
      <c r="G1187" s="90"/>
    </row>
    <row r="1188" spans="6:7" x14ac:dyDescent="0.3">
      <c r="F1188" s="90"/>
      <c r="G1188" s="90"/>
    </row>
    <row r="1189" spans="6:7" x14ac:dyDescent="0.3">
      <c r="F1189" s="90"/>
      <c r="G1189" s="90"/>
    </row>
    <row r="1190" spans="6:7" x14ac:dyDescent="0.3">
      <c r="F1190" s="90"/>
      <c r="G1190" s="90"/>
    </row>
    <row r="1191" spans="6:7" x14ac:dyDescent="0.3">
      <c r="F1191" s="90"/>
      <c r="G1191" s="90"/>
    </row>
    <row r="1192" spans="6:7" x14ac:dyDescent="0.3">
      <c r="F1192" s="90"/>
      <c r="G1192" s="90"/>
    </row>
    <row r="1193" spans="6:7" x14ac:dyDescent="0.3">
      <c r="F1193" s="90"/>
      <c r="G1193" s="90"/>
    </row>
    <row r="1194" spans="6:7" x14ac:dyDescent="0.3">
      <c r="F1194" s="90"/>
      <c r="G1194" s="90"/>
    </row>
    <row r="1195" spans="6:7" x14ac:dyDescent="0.3">
      <c r="F1195" s="90"/>
      <c r="G1195" s="90"/>
    </row>
    <row r="1196" spans="6:7" x14ac:dyDescent="0.3">
      <c r="F1196" s="90"/>
      <c r="G1196" s="90"/>
    </row>
    <row r="1197" spans="6:7" x14ac:dyDescent="0.3">
      <c r="F1197" s="90"/>
      <c r="G1197" s="90"/>
    </row>
    <row r="1198" spans="6:7" x14ac:dyDescent="0.3">
      <c r="F1198" s="90"/>
      <c r="G1198" s="90"/>
    </row>
    <row r="1199" spans="6:7" x14ac:dyDescent="0.3">
      <c r="F1199" s="90"/>
      <c r="G1199" s="90"/>
    </row>
    <row r="1200" spans="6:7" x14ac:dyDescent="0.3">
      <c r="F1200" s="90"/>
      <c r="G1200" s="90"/>
    </row>
    <row r="1201" spans="6:7" x14ac:dyDescent="0.3">
      <c r="F1201" s="90"/>
      <c r="G1201" s="90"/>
    </row>
    <row r="1202" spans="6:7" x14ac:dyDescent="0.3">
      <c r="F1202" s="90"/>
      <c r="G1202" s="90"/>
    </row>
    <row r="1203" spans="6:7" x14ac:dyDescent="0.3">
      <c r="F1203" s="90"/>
      <c r="G1203" s="90"/>
    </row>
    <row r="1204" spans="6:7" x14ac:dyDescent="0.3">
      <c r="F1204" s="90"/>
      <c r="G1204" s="90"/>
    </row>
    <row r="1205" spans="6:7" x14ac:dyDescent="0.3">
      <c r="F1205" s="90"/>
      <c r="G1205" s="90"/>
    </row>
    <row r="1206" spans="6:7" x14ac:dyDescent="0.3">
      <c r="F1206" s="90"/>
      <c r="G1206" s="90"/>
    </row>
    <row r="1207" spans="6:7" x14ac:dyDescent="0.3">
      <c r="F1207" s="90"/>
      <c r="G1207" s="90"/>
    </row>
    <row r="1208" spans="6:7" x14ac:dyDescent="0.3">
      <c r="F1208" s="90"/>
      <c r="G1208" s="90"/>
    </row>
    <row r="1209" spans="6:7" x14ac:dyDescent="0.3">
      <c r="F1209" s="90"/>
      <c r="G1209" s="90"/>
    </row>
    <row r="1210" spans="6:7" x14ac:dyDescent="0.3">
      <c r="F1210" s="90"/>
      <c r="G1210" s="90"/>
    </row>
    <row r="1211" spans="6:7" x14ac:dyDescent="0.3">
      <c r="F1211" s="90"/>
      <c r="G1211" s="90"/>
    </row>
    <row r="1212" spans="6:7" x14ac:dyDescent="0.3">
      <c r="F1212" s="90"/>
      <c r="G1212" s="90"/>
    </row>
    <row r="1213" spans="6:7" x14ac:dyDescent="0.3">
      <c r="F1213" s="90"/>
      <c r="G1213" s="90"/>
    </row>
    <row r="1214" spans="6:7" x14ac:dyDescent="0.3">
      <c r="F1214" s="90"/>
      <c r="G1214" s="90"/>
    </row>
    <row r="1215" spans="6:7" x14ac:dyDescent="0.3">
      <c r="F1215" s="90"/>
      <c r="G1215" s="90"/>
    </row>
    <row r="1216" spans="6:7" x14ac:dyDescent="0.3">
      <c r="F1216" s="90"/>
      <c r="G1216" s="90"/>
    </row>
    <row r="1217" spans="6:7" x14ac:dyDescent="0.3">
      <c r="F1217" s="90"/>
      <c r="G1217" s="90"/>
    </row>
    <row r="1218" spans="6:7" x14ac:dyDescent="0.3">
      <c r="F1218" s="90"/>
      <c r="G1218" s="90"/>
    </row>
    <row r="1219" spans="6:7" x14ac:dyDescent="0.3">
      <c r="F1219" s="90"/>
      <c r="G1219" s="90"/>
    </row>
    <row r="1220" spans="6:7" x14ac:dyDescent="0.3">
      <c r="F1220" s="90"/>
      <c r="G1220" s="90"/>
    </row>
    <row r="1221" spans="6:7" x14ac:dyDescent="0.3">
      <c r="F1221" s="90"/>
      <c r="G1221" s="90"/>
    </row>
    <row r="1222" spans="6:7" x14ac:dyDescent="0.3">
      <c r="F1222" s="90"/>
      <c r="G1222" s="90"/>
    </row>
    <row r="1223" spans="6:7" x14ac:dyDescent="0.3">
      <c r="F1223" s="90"/>
      <c r="G1223" s="90"/>
    </row>
    <row r="1224" spans="6:7" x14ac:dyDescent="0.3">
      <c r="F1224" s="90"/>
      <c r="G1224" s="90"/>
    </row>
    <row r="1225" spans="6:7" x14ac:dyDescent="0.3">
      <c r="F1225" s="90"/>
      <c r="G1225" s="90"/>
    </row>
    <row r="1226" spans="6:7" x14ac:dyDescent="0.3">
      <c r="F1226" s="90"/>
      <c r="G1226" s="90"/>
    </row>
    <row r="1227" spans="6:7" x14ac:dyDescent="0.3">
      <c r="F1227" s="90"/>
      <c r="G1227" s="90"/>
    </row>
    <row r="1228" spans="6:7" x14ac:dyDescent="0.3">
      <c r="F1228" s="90"/>
      <c r="G1228" s="90"/>
    </row>
    <row r="1229" spans="6:7" x14ac:dyDescent="0.3">
      <c r="F1229" s="90"/>
      <c r="G1229" s="90"/>
    </row>
    <row r="1230" spans="6:7" x14ac:dyDescent="0.3">
      <c r="F1230" s="90"/>
      <c r="G1230" s="90"/>
    </row>
    <row r="1231" spans="6:7" x14ac:dyDescent="0.3">
      <c r="F1231" s="90"/>
      <c r="G1231" s="90"/>
    </row>
    <row r="1232" spans="6:7" x14ac:dyDescent="0.3">
      <c r="F1232" s="90"/>
      <c r="G1232" s="90"/>
    </row>
    <row r="1233" spans="6:7" x14ac:dyDescent="0.3">
      <c r="F1233" s="90"/>
      <c r="G1233" s="90"/>
    </row>
    <row r="1234" spans="6:7" x14ac:dyDescent="0.3">
      <c r="F1234" s="90"/>
      <c r="G1234" s="90"/>
    </row>
    <row r="1235" spans="6:7" x14ac:dyDescent="0.3">
      <c r="F1235" s="90"/>
      <c r="G1235" s="90"/>
    </row>
    <row r="1236" spans="6:7" x14ac:dyDescent="0.3">
      <c r="F1236" s="90"/>
      <c r="G1236" s="90"/>
    </row>
    <row r="1237" spans="6:7" x14ac:dyDescent="0.3">
      <c r="F1237" s="90"/>
      <c r="G1237" s="90"/>
    </row>
    <row r="1238" spans="6:7" x14ac:dyDescent="0.3">
      <c r="F1238" s="90"/>
      <c r="G1238" s="90"/>
    </row>
    <row r="1239" spans="6:7" x14ac:dyDescent="0.3">
      <c r="F1239" s="90"/>
      <c r="G1239" s="90"/>
    </row>
    <row r="1240" spans="6:7" x14ac:dyDescent="0.3">
      <c r="F1240" s="90"/>
      <c r="G1240" s="90"/>
    </row>
    <row r="1241" spans="6:7" x14ac:dyDescent="0.3">
      <c r="F1241" s="90"/>
      <c r="G1241" s="90"/>
    </row>
    <row r="1242" spans="6:7" x14ac:dyDescent="0.3">
      <c r="F1242" s="90"/>
      <c r="G1242" s="90"/>
    </row>
    <row r="1243" spans="6:7" x14ac:dyDescent="0.3">
      <c r="F1243" s="90"/>
      <c r="G1243" s="90"/>
    </row>
    <row r="1244" spans="6:7" x14ac:dyDescent="0.3">
      <c r="F1244" s="90"/>
      <c r="G1244" s="90"/>
    </row>
    <row r="1245" spans="6:7" x14ac:dyDescent="0.3">
      <c r="F1245" s="90"/>
      <c r="G1245" s="90"/>
    </row>
    <row r="1246" spans="6:7" x14ac:dyDescent="0.3">
      <c r="F1246" s="90"/>
      <c r="G1246" s="90"/>
    </row>
    <row r="1247" spans="6:7" x14ac:dyDescent="0.3">
      <c r="F1247" s="90"/>
      <c r="G1247" s="90"/>
    </row>
    <row r="1248" spans="6:7" x14ac:dyDescent="0.3">
      <c r="F1248" s="90"/>
      <c r="G1248" s="90"/>
    </row>
    <row r="1249" spans="6:7" x14ac:dyDescent="0.3">
      <c r="F1249" s="90"/>
      <c r="G1249" s="90"/>
    </row>
    <row r="1250" spans="6:7" x14ac:dyDescent="0.3">
      <c r="F1250" s="90"/>
      <c r="G1250" s="90"/>
    </row>
    <row r="1251" spans="6:7" x14ac:dyDescent="0.3">
      <c r="F1251" s="90"/>
      <c r="G1251" s="90"/>
    </row>
    <row r="1252" spans="6:7" x14ac:dyDescent="0.3">
      <c r="F1252" s="90"/>
      <c r="G1252" s="90"/>
    </row>
    <row r="1253" spans="6:7" x14ac:dyDescent="0.3">
      <c r="F1253" s="90"/>
      <c r="G1253" s="90"/>
    </row>
    <row r="1254" spans="6:7" x14ac:dyDescent="0.3">
      <c r="F1254" s="90"/>
      <c r="G1254" s="90"/>
    </row>
    <row r="1255" spans="6:7" x14ac:dyDescent="0.3">
      <c r="F1255" s="90"/>
      <c r="G1255" s="90"/>
    </row>
    <row r="1256" spans="6:7" x14ac:dyDescent="0.3">
      <c r="F1256" s="90"/>
      <c r="G1256" s="90"/>
    </row>
    <row r="1257" spans="6:7" x14ac:dyDescent="0.3">
      <c r="F1257" s="90"/>
      <c r="G1257" s="90"/>
    </row>
    <row r="1258" spans="6:7" x14ac:dyDescent="0.3">
      <c r="F1258" s="90"/>
      <c r="G1258" s="90"/>
    </row>
    <row r="1259" spans="6:7" x14ac:dyDescent="0.3">
      <c r="F1259" s="90"/>
      <c r="G1259" s="90"/>
    </row>
    <row r="1260" spans="6:7" x14ac:dyDescent="0.3">
      <c r="F1260" s="90"/>
      <c r="G1260" s="90"/>
    </row>
    <row r="1261" spans="6:7" x14ac:dyDescent="0.3">
      <c r="F1261" s="90"/>
      <c r="G1261" s="90"/>
    </row>
    <row r="1262" spans="6:7" x14ac:dyDescent="0.3">
      <c r="F1262" s="90"/>
      <c r="G1262" s="90"/>
    </row>
    <row r="1263" spans="6:7" x14ac:dyDescent="0.3">
      <c r="F1263" s="90"/>
      <c r="G1263" s="90"/>
    </row>
    <row r="1264" spans="6:7" x14ac:dyDescent="0.3">
      <c r="F1264" s="90"/>
      <c r="G1264" s="90"/>
    </row>
    <row r="1265" spans="6:7" x14ac:dyDescent="0.3">
      <c r="F1265" s="90"/>
      <c r="G1265" s="90"/>
    </row>
    <row r="1266" spans="6:7" x14ac:dyDescent="0.3">
      <c r="F1266" s="90"/>
      <c r="G1266" s="90"/>
    </row>
    <row r="1267" spans="6:7" x14ac:dyDescent="0.3">
      <c r="F1267" s="90"/>
      <c r="G1267" s="90"/>
    </row>
    <row r="1268" spans="6:7" x14ac:dyDescent="0.3">
      <c r="F1268" s="90"/>
      <c r="G1268" s="90"/>
    </row>
    <row r="1269" spans="6:7" x14ac:dyDescent="0.3">
      <c r="F1269" s="90"/>
      <c r="G1269" s="90"/>
    </row>
    <row r="1270" spans="6:7" x14ac:dyDescent="0.3">
      <c r="F1270" s="90"/>
      <c r="G1270" s="90"/>
    </row>
    <row r="1271" spans="6:7" x14ac:dyDescent="0.3">
      <c r="F1271" s="90"/>
      <c r="G1271" s="90"/>
    </row>
    <row r="1272" spans="6:7" x14ac:dyDescent="0.3">
      <c r="F1272" s="90"/>
      <c r="G1272" s="90"/>
    </row>
    <row r="1273" spans="6:7" x14ac:dyDescent="0.3">
      <c r="F1273" s="90"/>
      <c r="G1273" s="90"/>
    </row>
    <row r="1274" spans="6:7" x14ac:dyDescent="0.3">
      <c r="F1274" s="90"/>
      <c r="G1274" s="90"/>
    </row>
    <row r="1275" spans="6:7" x14ac:dyDescent="0.3">
      <c r="F1275" s="90"/>
      <c r="G1275" s="90"/>
    </row>
    <row r="1276" spans="6:7" x14ac:dyDescent="0.3">
      <c r="F1276" s="90"/>
      <c r="G1276" s="90"/>
    </row>
    <row r="1277" spans="6:7" x14ac:dyDescent="0.3">
      <c r="F1277" s="90"/>
      <c r="G1277" s="90"/>
    </row>
    <row r="1278" spans="6:7" x14ac:dyDescent="0.3">
      <c r="F1278" s="90"/>
      <c r="G1278" s="90"/>
    </row>
    <row r="1279" spans="6:7" x14ac:dyDescent="0.3">
      <c r="F1279" s="90"/>
      <c r="G1279" s="90"/>
    </row>
    <row r="1280" spans="6:7" x14ac:dyDescent="0.3">
      <c r="F1280" s="90"/>
      <c r="G1280" s="90"/>
    </row>
    <row r="1281" spans="6:7" x14ac:dyDescent="0.3">
      <c r="F1281" s="90"/>
      <c r="G1281" s="90"/>
    </row>
    <row r="1282" spans="6:7" x14ac:dyDescent="0.3">
      <c r="F1282" s="90"/>
      <c r="G1282" s="90"/>
    </row>
    <row r="1283" spans="6:7" x14ac:dyDescent="0.3">
      <c r="F1283" s="90"/>
      <c r="G1283" s="90"/>
    </row>
    <row r="1284" spans="6:7" x14ac:dyDescent="0.3">
      <c r="F1284" s="90"/>
      <c r="G1284" s="90"/>
    </row>
    <row r="1285" spans="6:7" x14ac:dyDescent="0.3">
      <c r="F1285" s="90"/>
      <c r="G1285" s="90"/>
    </row>
    <row r="1286" spans="6:7" x14ac:dyDescent="0.3">
      <c r="F1286" s="90"/>
      <c r="G1286" s="90"/>
    </row>
    <row r="1287" spans="6:7" x14ac:dyDescent="0.3">
      <c r="F1287" s="90"/>
      <c r="G1287" s="90"/>
    </row>
    <row r="1288" spans="6:7" x14ac:dyDescent="0.3">
      <c r="F1288" s="90"/>
      <c r="G1288" s="90"/>
    </row>
    <row r="1289" spans="6:7" x14ac:dyDescent="0.3">
      <c r="F1289" s="90"/>
      <c r="G1289" s="90"/>
    </row>
    <row r="1290" spans="6:7" x14ac:dyDescent="0.3">
      <c r="F1290" s="90"/>
      <c r="G1290" s="90"/>
    </row>
    <row r="1291" spans="6:7" x14ac:dyDescent="0.3">
      <c r="F1291" s="90"/>
      <c r="G1291" s="90"/>
    </row>
    <row r="1292" spans="6:7" x14ac:dyDescent="0.3">
      <c r="F1292" s="90"/>
      <c r="G1292" s="90"/>
    </row>
    <row r="1293" spans="6:7" x14ac:dyDescent="0.3">
      <c r="F1293" s="90"/>
      <c r="G1293" s="90"/>
    </row>
    <row r="1294" spans="6:7" x14ac:dyDescent="0.3">
      <c r="F1294" s="90"/>
      <c r="G1294" s="90"/>
    </row>
    <row r="1295" spans="6:7" x14ac:dyDescent="0.3">
      <c r="F1295" s="90"/>
      <c r="G1295" s="90"/>
    </row>
    <row r="1296" spans="6:7" x14ac:dyDescent="0.3">
      <c r="F1296" s="90"/>
      <c r="G1296" s="90"/>
    </row>
    <row r="1297" spans="6:7" x14ac:dyDescent="0.3">
      <c r="F1297" s="90"/>
      <c r="G1297" s="90"/>
    </row>
    <row r="1298" spans="6:7" x14ac:dyDescent="0.3">
      <c r="F1298" s="90"/>
      <c r="G1298" s="90"/>
    </row>
    <row r="1299" spans="6:7" x14ac:dyDescent="0.3">
      <c r="F1299" s="90"/>
      <c r="G1299" s="90"/>
    </row>
    <row r="1300" spans="6:7" x14ac:dyDescent="0.3">
      <c r="F1300" s="90"/>
      <c r="G1300" s="90"/>
    </row>
    <row r="1301" spans="6:7" x14ac:dyDescent="0.3">
      <c r="F1301" s="90"/>
      <c r="G1301" s="90"/>
    </row>
    <row r="1302" spans="6:7" x14ac:dyDescent="0.3">
      <c r="F1302" s="90"/>
      <c r="G1302" s="90"/>
    </row>
    <row r="1303" spans="6:7" x14ac:dyDescent="0.3">
      <c r="F1303" s="90"/>
      <c r="G1303" s="90"/>
    </row>
    <row r="1304" spans="6:7" x14ac:dyDescent="0.3">
      <c r="F1304" s="90"/>
      <c r="G1304" s="90"/>
    </row>
    <row r="1305" spans="6:7" x14ac:dyDescent="0.3">
      <c r="F1305" s="90"/>
      <c r="G1305" s="90"/>
    </row>
    <row r="1306" spans="6:7" x14ac:dyDescent="0.3">
      <c r="F1306" s="90"/>
      <c r="G1306" s="90"/>
    </row>
    <row r="1307" spans="6:7" x14ac:dyDescent="0.3">
      <c r="F1307" s="90"/>
      <c r="G1307" s="90"/>
    </row>
    <row r="1308" spans="6:7" x14ac:dyDescent="0.3">
      <c r="F1308" s="90"/>
      <c r="G1308" s="90"/>
    </row>
    <row r="1309" spans="6:7" x14ac:dyDescent="0.3">
      <c r="F1309" s="90"/>
      <c r="G1309" s="90"/>
    </row>
    <row r="1310" spans="6:7" x14ac:dyDescent="0.3">
      <c r="F1310" s="90"/>
      <c r="G1310" s="90"/>
    </row>
    <row r="1311" spans="6:7" x14ac:dyDescent="0.3">
      <c r="F1311" s="90"/>
      <c r="G1311" s="90"/>
    </row>
    <row r="1312" spans="6:7" x14ac:dyDescent="0.3">
      <c r="F1312" s="90"/>
      <c r="G1312" s="90"/>
    </row>
    <row r="1313" spans="6:7" x14ac:dyDescent="0.3">
      <c r="F1313" s="90"/>
      <c r="G1313" s="90"/>
    </row>
    <row r="1314" spans="6:7" x14ac:dyDescent="0.3">
      <c r="F1314" s="90"/>
      <c r="G1314" s="90"/>
    </row>
    <row r="1315" spans="6:7" x14ac:dyDescent="0.3">
      <c r="F1315" s="90"/>
      <c r="G1315" s="90"/>
    </row>
    <row r="1316" spans="6:7" x14ac:dyDescent="0.3">
      <c r="F1316" s="90"/>
      <c r="G1316" s="90"/>
    </row>
    <row r="1317" spans="6:7" x14ac:dyDescent="0.3">
      <c r="F1317" s="90"/>
      <c r="G1317" s="90"/>
    </row>
    <row r="1318" spans="6:7" x14ac:dyDescent="0.3">
      <c r="F1318" s="90"/>
      <c r="G1318" s="90"/>
    </row>
    <row r="1319" spans="6:7" x14ac:dyDescent="0.3">
      <c r="F1319" s="90"/>
      <c r="G1319" s="90"/>
    </row>
    <row r="1320" spans="6:7" x14ac:dyDescent="0.3">
      <c r="F1320" s="90"/>
      <c r="G1320" s="90"/>
    </row>
    <row r="1321" spans="6:7" x14ac:dyDescent="0.3">
      <c r="F1321" s="90"/>
      <c r="G1321" s="90"/>
    </row>
    <row r="1322" spans="6:7" x14ac:dyDescent="0.3">
      <c r="F1322" s="90"/>
      <c r="G1322" s="90"/>
    </row>
    <row r="1323" spans="6:7" x14ac:dyDescent="0.3">
      <c r="F1323" s="90"/>
      <c r="G1323" s="90"/>
    </row>
    <row r="1324" spans="6:7" x14ac:dyDescent="0.3">
      <c r="F1324" s="90"/>
      <c r="G1324" s="90"/>
    </row>
    <row r="1325" spans="6:7" x14ac:dyDescent="0.3">
      <c r="F1325" s="90"/>
      <c r="G1325" s="90"/>
    </row>
    <row r="1326" spans="6:7" x14ac:dyDescent="0.3">
      <c r="F1326" s="90"/>
      <c r="G1326" s="90"/>
    </row>
    <row r="1327" spans="6:7" x14ac:dyDescent="0.3">
      <c r="F1327" s="90"/>
      <c r="G1327" s="90"/>
    </row>
    <row r="1328" spans="6:7" x14ac:dyDescent="0.3">
      <c r="F1328" s="90"/>
      <c r="G1328" s="90"/>
    </row>
    <row r="1329" spans="6:7" x14ac:dyDescent="0.3">
      <c r="F1329" s="90"/>
      <c r="G1329" s="90"/>
    </row>
    <row r="1330" spans="6:7" x14ac:dyDescent="0.3">
      <c r="F1330" s="90"/>
      <c r="G1330" s="90"/>
    </row>
    <row r="1331" spans="6:7" x14ac:dyDescent="0.3">
      <c r="F1331" s="90"/>
      <c r="G1331" s="90"/>
    </row>
    <row r="1332" spans="6:7" x14ac:dyDescent="0.3">
      <c r="F1332" s="90"/>
      <c r="G1332" s="90"/>
    </row>
    <row r="1333" spans="6:7" x14ac:dyDescent="0.3">
      <c r="F1333" s="90"/>
      <c r="G1333" s="90"/>
    </row>
    <row r="1334" spans="6:7" x14ac:dyDescent="0.3">
      <c r="F1334" s="90"/>
      <c r="G1334" s="90"/>
    </row>
    <row r="1335" spans="6:7" x14ac:dyDescent="0.3">
      <c r="F1335" s="90"/>
      <c r="G1335" s="90"/>
    </row>
    <row r="1336" spans="6:7" x14ac:dyDescent="0.3">
      <c r="F1336" s="90"/>
      <c r="G1336" s="90"/>
    </row>
    <row r="1337" spans="6:7" x14ac:dyDescent="0.3">
      <c r="F1337" s="90"/>
      <c r="G1337" s="90"/>
    </row>
    <row r="1338" spans="6:7" x14ac:dyDescent="0.3">
      <c r="F1338" s="90"/>
      <c r="G1338" s="90"/>
    </row>
    <row r="1339" spans="6:7" x14ac:dyDescent="0.3">
      <c r="F1339" s="90"/>
      <c r="G1339" s="90"/>
    </row>
    <row r="1340" spans="6:7" x14ac:dyDescent="0.3">
      <c r="F1340" s="90"/>
      <c r="G1340" s="90"/>
    </row>
    <row r="1341" spans="6:7" x14ac:dyDescent="0.3">
      <c r="F1341" s="90"/>
      <c r="G1341" s="90"/>
    </row>
    <row r="1342" spans="6:7" x14ac:dyDescent="0.3">
      <c r="F1342" s="90"/>
      <c r="G1342" s="90"/>
    </row>
    <row r="1343" spans="6:7" x14ac:dyDescent="0.3">
      <c r="F1343" s="90"/>
      <c r="G1343" s="90"/>
    </row>
    <row r="1344" spans="6:7" x14ac:dyDescent="0.3">
      <c r="F1344" s="90"/>
      <c r="G1344" s="90"/>
    </row>
    <row r="1345" spans="6:7" x14ac:dyDescent="0.3">
      <c r="F1345" s="90"/>
      <c r="G1345" s="90"/>
    </row>
    <row r="1346" spans="6:7" x14ac:dyDescent="0.3">
      <c r="F1346" s="90"/>
      <c r="G1346" s="90"/>
    </row>
    <row r="1347" spans="6:7" x14ac:dyDescent="0.3">
      <c r="F1347" s="90"/>
      <c r="G1347" s="90"/>
    </row>
    <row r="1348" spans="6:7" x14ac:dyDescent="0.3">
      <c r="F1348" s="90"/>
      <c r="G1348" s="90"/>
    </row>
    <row r="1349" spans="6:7" x14ac:dyDescent="0.3">
      <c r="F1349" s="90"/>
      <c r="G1349" s="90"/>
    </row>
    <row r="1350" spans="6:7" x14ac:dyDescent="0.3">
      <c r="F1350" s="90"/>
      <c r="G1350" s="90"/>
    </row>
    <row r="1351" spans="6:7" x14ac:dyDescent="0.3">
      <c r="F1351" s="90"/>
      <c r="G1351" s="90"/>
    </row>
    <row r="1352" spans="6:7" x14ac:dyDescent="0.3">
      <c r="F1352" s="90"/>
      <c r="G1352" s="90"/>
    </row>
    <row r="1353" spans="6:7" x14ac:dyDescent="0.3">
      <c r="F1353" s="90"/>
      <c r="G1353" s="90"/>
    </row>
    <row r="1354" spans="6:7" x14ac:dyDescent="0.3">
      <c r="F1354" s="90"/>
      <c r="G1354" s="90"/>
    </row>
    <row r="1355" spans="6:7" x14ac:dyDescent="0.3">
      <c r="F1355" s="90"/>
      <c r="G1355" s="90"/>
    </row>
    <row r="1356" spans="6:7" x14ac:dyDescent="0.3">
      <c r="F1356" s="90"/>
      <c r="G1356" s="90"/>
    </row>
    <row r="1357" spans="6:7" x14ac:dyDescent="0.3">
      <c r="F1357" s="90"/>
      <c r="G1357" s="90"/>
    </row>
    <row r="1358" spans="6:7" x14ac:dyDescent="0.3">
      <c r="F1358" s="90"/>
      <c r="G1358" s="90"/>
    </row>
    <row r="1359" spans="6:7" x14ac:dyDescent="0.3">
      <c r="F1359" s="90"/>
      <c r="G1359" s="90"/>
    </row>
    <row r="1360" spans="6:7" x14ac:dyDescent="0.3">
      <c r="F1360" s="90"/>
      <c r="G1360" s="90"/>
    </row>
    <row r="1361" spans="6:7" x14ac:dyDescent="0.3">
      <c r="F1361" s="90"/>
      <c r="G1361" s="90"/>
    </row>
    <row r="1362" spans="6:7" x14ac:dyDescent="0.3">
      <c r="F1362" s="90"/>
      <c r="G1362" s="90"/>
    </row>
    <row r="1363" spans="6:7" x14ac:dyDescent="0.3">
      <c r="F1363" s="90"/>
      <c r="G1363" s="90"/>
    </row>
    <row r="1364" spans="6:7" x14ac:dyDescent="0.3">
      <c r="F1364" s="90"/>
      <c r="G1364" s="90"/>
    </row>
    <row r="1365" spans="6:7" x14ac:dyDescent="0.3">
      <c r="F1365" s="90"/>
      <c r="G1365" s="90"/>
    </row>
    <row r="1366" spans="6:7" x14ac:dyDescent="0.3">
      <c r="F1366" s="90"/>
      <c r="G1366" s="90"/>
    </row>
    <row r="1367" spans="6:7" x14ac:dyDescent="0.3">
      <c r="F1367" s="90"/>
      <c r="G1367" s="90"/>
    </row>
    <row r="1368" spans="6:7" x14ac:dyDescent="0.3">
      <c r="F1368" s="90"/>
      <c r="G1368" s="90"/>
    </row>
    <row r="1369" spans="6:7" x14ac:dyDescent="0.3">
      <c r="F1369" s="90"/>
      <c r="G1369" s="90"/>
    </row>
    <row r="1370" spans="6:7" x14ac:dyDescent="0.3">
      <c r="F1370" s="90"/>
      <c r="G1370" s="90"/>
    </row>
    <row r="1371" spans="6:7" x14ac:dyDescent="0.3">
      <c r="F1371" s="90"/>
      <c r="G1371" s="90"/>
    </row>
    <row r="1372" spans="6:7" x14ac:dyDescent="0.3">
      <c r="F1372" s="90"/>
      <c r="G1372" s="90"/>
    </row>
    <row r="1373" spans="6:7" x14ac:dyDescent="0.3">
      <c r="F1373" s="90"/>
      <c r="G1373" s="90"/>
    </row>
    <row r="1374" spans="6:7" x14ac:dyDescent="0.3">
      <c r="F1374" s="90"/>
      <c r="G1374" s="90"/>
    </row>
    <row r="1375" spans="6:7" x14ac:dyDescent="0.3">
      <c r="F1375" s="90"/>
      <c r="G1375" s="90"/>
    </row>
    <row r="1376" spans="6:7" x14ac:dyDescent="0.3">
      <c r="F1376" s="90"/>
      <c r="G1376" s="90"/>
    </row>
    <row r="1377" spans="6:7" x14ac:dyDescent="0.3">
      <c r="F1377" s="90"/>
      <c r="G1377" s="90"/>
    </row>
    <row r="1378" spans="6:7" x14ac:dyDescent="0.3">
      <c r="F1378" s="90"/>
      <c r="G1378" s="90"/>
    </row>
    <row r="1379" spans="6:7" x14ac:dyDescent="0.3">
      <c r="F1379" s="90"/>
      <c r="G1379" s="90"/>
    </row>
    <row r="1380" spans="6:7" x14ac:dyDescent="0.3">
      <c r="F1380" s="90"/>
      <c r="G1380" s="90"/>
    </row>
    <row r="1381" spans="6:7" x14ac:dyDescent="0.3">
      <c r="F1381" s="90"/>
      <c r="G1381" s="90"/>
    </row>
    <row r="1382" spans="6:7" x14ac:dyDescent="0.3">
      <c r="F1382" s="90"/>
      <c r="G1382" s="90"/>
    </row>
    <row r="1383" spans="6:7" x14ac:dyDescent="0.3">
      <c r="F1383" s="90"/>
      <c r="G1383" s="90"/>
    </row>
    <row r="1384" spans="6:7" x14ac:dyDescent="0.3">
      <c r="F1384" s="90"/>
      <c r="G1384" s="90"/>
    </row>
    <row r="1385" spans="6:7" x14ac:dyDescent="0.3">
      <c r="F1385" s="90"/>
      <c r="G1385" s="90"/>
    </row>
    <row r="1386" spans="6:7" x14ac:dyDescent="0.3">
      <c r="F1386" s="90"/>
      <c r="G1386" s="90"/>
    </row>
    <row r="1387" spans="6:7" x14ac:dyDescent="0.3">
      <c r="F1387" s="90"/>
      <c r="G1387" s="90"/>
    </row>
    <row r="1388" spans="6:7" x14ac:dyDescent="0.3">
      <c r="F1388" s="90"/>
      <c r="G1388" s="90"/>
    </row>
    <row r="1389" spans="6:7" x14ac:dyDescent="0.3">
      <c r="F1389" s="90"/>
      <c r="G1389" s="90"/>
    </row>
    <row r="1390" spans="6:7" x14ac:dyDescent="0.3">
      <c r="F1390" s="90"/>
      <c r="G1390" s="90"/>
    </row>
    <row r="1391" spans="6:7" x14ac:dyDescent="0.3">
      <c r="F1391" s="90"/>
      <c r="G1391" s="90"/>
    </row>
    <row r="1392" spans="6:7" x14ac:dyDescent="0.3">
      <c r="F1392" s="90"/>
      <c r="G1392" s="90"/>
    </row>
    <row r="1393" spans="6:7" x14ac:dyDescent="0.3">
      <c r="F1393" s="90"/>
      <c r="G1393" s="90"/>
    </row>
    <row r="1394" spans="6:7" x14ac:dyDescent="0.3">
      <c r="F1394" s="90"/>
      <c r="G1394" s="90"/>
    </row>
    <row r="1395" spans="6:7" x14ac:dyDescent="0.3">
      <c r="F1395" s="90"/>
      <c r="G1395" s="90"/>
    </row>
    <row r="1396" spans="6:7" x14ac:dyDescent="0.3">
      <c r="F1396" s="90"/>
      <c r="G1396" s="90"/>
    </row>
    <row r="1397" spans="6:7" x14ac:dyDescent="0.3">
      <c r="F1397" s="90"/>
      <c r="G1397" s="90"/>
    </row>
    <row r="1398" spans="6:7" x14ac:dyDescent="0.3">
      <c r="F1398" s="90"/>
      <c r="G1398" s="90"/>
    </row>
    <row r="1399" spans="6:7" x14ac:dyDescent="0.3">
      <c r="F1399" s="90"/>
      <c r="G1399" s="90"/>
    </row>
    <row r="1400" spans="6:7" x14ac:dyDescent="0.3">
      <c r="F1400" s="90"/>
      <c r="G1400" s="90"/>
    </row>
    <row r="1401" spans="6:7" x14ac:dyDescent="0.3">
      <c r="F1401" s="90"/>
      <c r="G1401" s="90"/>
    </row>
    <row r="1402" spans="6:7" x14ac:dyDescent="0.3">
      <c r="F1402" s="90"/>
      <c r="G1402" s="90"/>
    </row>
    <row r="1403" spans="6:7" x14ac:dyDescent="0.3">
      <c r="F1403" s="90"/>
      <c r="G1403" s="90"/>
    </row>
    <row r="1404" spans="6:7" x14ac:dyDescent="0.3">
      <c r="F1404" s="90"/>
      <c r="G1404" s="90"/>
    </row>
    <row r="1405" spans="6:7" x14ac:dyDescent="0.3">
      <c r="F1405" s="90"/>
      <c r="G1405" s="90"/>
    </row>
    <row r="1406" spans="6:7" x14ac:dyDescent="0.3">
      <c r="F1406" s="90"/>
      <c r="G1406" s="90"/>
    </row>
    <row r="1407" spans="6:7" x14ac:dyDescent="0.3">
      <c r="F1407" s="90"/>
      <c r="G1407" s="90"/>
    </row>
    <row r="1408" spans="6:7" x14ac:dyDescent="0.3">
      <c r="F1408" s="90"/>
      <c r="G1408" s="90"/>
    </row>
    <row r="1409" spans="6:7" x14ac:dyDescent="0.3">
      <c r="F1409" s="90"/>
      <c r="G1409" s="90"/>
    </row>
    <row r="1410" spans="6:7" x14ac:dyDescent="0.3">
      <c r="F1410" s="90"/>
      <c r="G1410" s="90"/>
    </row>
    <row r="1411" spans="6:7" x14ac:dyDescent="0.3">
      <c r="F1411" s="90"/>
      <c r="G1411" s="90"/>
    </row>
    <row r="1412" spans="6:7" x14ac:dyDescent="0.3">
      <c r="F1412" s="90"/>
      <c r="G1412" s="90"/>
    </row>
    <row r="1413" spans="6:7" x14ac:dyDescent="0.3">
      <c r="F1413" s="90"/>
      <c r="G1413" s="90"/>
    </row>
    <row r="1414" spans="6:7" x14ac:dyDescent="0.3">
      <c r="F1414" s="90"/>
      <c r="G1414" s="90"/>
    </row>
    <row r="1415" spans="6:7" x14ac:dyDescent="0.3">
      <c r="F1415" s="90"/>
      <c r="G1415" s="90"/>
    </row>
    <row r="1416" spans="6:7" x14ac:dyDescent="0.3">
      <c r="F1416" s="90"/>
      <c r="G1416" s="90"/>
    </row>
    <row r="1417" spans="6:7" x14ac:dyDescent="0.3">
      <c r="F1417" s="90"/>
      <c r="G1417" s="90"/>
    </row>
    <row r="1418" spans="6:7" x14ac:dyDescent="0.3">
      <c r="F1418" s="90"/>
      <c r="G1418" s="90"/>
    </row>
    <row r="1419" spans="6:7" x14ac:dyDescent="0.3">
      <c r="F1419" s="90"/>
      <c r="G1419" s="90"/>
    </row>
    <row r="1420" spans="6:7" x14ac:dyDescent="0.3">
      <c r="F1420" s="90"/>
      <c r="G1420" s="90"/>
    </row>
    <row r="1421" spans="6:7" x14ac:dyDescent="0.3">
      <c r="F1421" s="90"/>
      <c r="G1421" s="90"/>
    </row>
    <row r="1422" spans="6:7" x14ac:dyDescent="0.3">
      <c r="F1422" s="90"/>
      <c r="G1422" s="90"/>
    </row>
    <row r="1423" spans="6:7" x14ac:dyDescent="0.3">
      <c r="F1423" s="90"/>
      <c r="G1423" s="90"/>
    </row>
    <row r="1424" spans="6:7" x14ac:dyDescent="0.3">
      <c r="F1424" s="90"/>
      <c r="G1424" s="90"/>
    </row>
    <row r="1425" spans="6:7" x14ac:dyDescent="0.3">
      <c r="F1425" s="90"/>
      <c r="G1425" s="90"/>
    </row>
    <row r="1426" spans="6:7" x14ac:dyDescent="0.3">
      <c r="F1426" s="90"/>
      <c r="G1426" s="90"/>
    </row>
    <row r="1427" spans="6:7" x14ac:dyDescent="0.3">
      <c r="F1427" s="90"/>
      <c r="G1427" s="90"/>
    </row>
    <row r="1428" spans="6:7" x14ac:dyDescent="0.3">
      <c r="F1428" s="90"/>
      <c r="G1428" s="90"/>
    </row>
    <row r="1429" spans="6:7" x14ac:dyDescent="0.3">
      <c r="F1429" s="90"/>
      <c r="G1429" s="90"/>
    </row>
    <row r="1430" spans="6:7" x14ac:dyDescent="0.3">
      <c r="F1430" s="90"/>
      <c r="G1430" s="90"/>
    </row>
    <row r="1431" spans="6:7" x14ac:dyDescent="0.3">
      <c r="F1431" s="90"/>
      <c r="G1431" s="90"/>
    </row>
    <row r="1432" spans="6:7" x14ac:dyDescent="0.3">
      <c r="F1432" s="90"/>
      <c r="G1432" s="90"/>
    </row>
    <row r="1433" spans="6:7" x14ac:dyDescent="0.3">
      <c r="F1433" s="90"/>
      <c r="G1433" s="90"/>
    </row>
    <row r="1434" spans="6:7" x14ac:dyDescent="0.3">
      <c r="F1434" s="90"/>
      <c r="G1434" s="90"/>
    </row>
    <row r="1435" spans="6:7" x14ac:dyDescent="0.3">
      <c r="F1435" s="90"/>
      <c r="G1435" s="90"/>
    </row>
    <row r="1436" spans="6:7" x14ac:dyDescent="0.3">
      <c r="F1436" s="90"/>
      <c r="G1436" s="90"/>
    </row>
    <row r="1437" spans="6:7" x14ac:dyDescent="0.3">
      <c r="F1437" s="90"/>
      <c r="G1437" s="90"/>
    </row>
    <row r="1438" spans="6:7" x14ac:dyDescent="0.3">
      <c r="F1438" s="90"/>
      <c r="G1438" s="90"/>
    </row>
    <row r="1439" spans="6:7" x14ac:dyDescent="0.3">
      <c r="F1439" s="90"/>
      <c r="G1439" s="90"/>
    </row>
    <row r="1440" spans="6:7" x14ac:dyDescent="0.3">
      <c r="F1440" s="90"/>
      <c r="G1440" s="90"/>
    </row>
    <row r="1441" spans="6:7" x14ac:dyDescent="0.3">
      <c r="F1441" s="90"/>
      <c r="G1441" s="90"/>
    </row>
    <row r="1442" spans="6:7" x14ac:dyDescent="0.3">
      <c r="F1442" s="90"/>
      <c r="G1442" s="90"/>
    </row>
    <row r="1443" spans="6:7" x14ac:dyDescent="0.3">
      <c r="F1443" s="90"/>
      <c r="G1443" s="90"/>
    </row>
    <row r="1444" spans="6:7" x14ac:dyDescent="0.3">
      <c r="F1444" s="90"/>
      <c r="G1444" s="90"/>
    </row>
    <row r="1445" spans="6:7" x14ac:dyDescent="0.3">
      <c r="F1445" s="90"/>
      <c r="G1445" s="90"/>
    </row>
    <row r="1446" spans="6:7" x14ac:dyDescent="0.3">
      <c r="F1446" s="90"/>
      <c r="G1446" s="90"/>
    </row>
    <row r="1447" spans="6:7" x14ac:dyDescent="0.3">
      <c r="F1447" s="90"/>
      <c r="G1447" s="90"/>
    </row>
    <row r="1448" spans="6:7" x14ac:dyDescent="0.3">
      <c r="F1448" s="90"/>
      <c r="G1448" s="90"/>
    </row>
    <row r="1449" spans="6:7" x14ac:dyDescent="0.3">
      <c r="F1449" s="90"/>
      <c r="G1449" s="90"/>
    </row>
    <row r="1450" spans="6:7" x14ac:dyDescent="0.3">
      <c r="F1450" s="90"/>
      <c r="G1450" s="90"/>
    </row>
    <row r="1451" spans="6:7" x14ac:dyDescent="0.3">
      <c r="F1451" s="90"/>
      <c r="G1451" s="90"/>
    </row>
    <row r="1452" spans="6:7" x14ac:dyDescent="0.3">
      <c r="F1452" s="90"/>
      <c r="G1452" s="90"/>
    </row>
    <row r="1453" spans="6:7" x14ac:dyDescent="0.3">
      <c r="F1453" s="90"/>
      <c r="G1453" s="90"/>
    </row>
    <row r="1454" spans="6:7" x14ac:dyDescent="0.3">
      <c r="F1454" s="90"/>
      <c r="G1454" s="90"/>
    </row>
    <row r="1455" spans="6:7" x14ac:dyDescent="0.3">
      <c r="F1455" s="90"/>
      <c r="G1455" s="90"/>
    </row>
    <row r="1456" spans="6:7" x14ac:dyDescent="0.3">
      <c r="F1456" s="90"/>
      <c r="G1456" s="90"/>
    </row>
    <row r="1457" spans="6:7" x14ac:dyDescent="0.3">
      <c r="F1457" s="90"/>
      <c r="G1457" s="90"/>
    </row>
    <row r="1458" spans="6:7" x14ac:dyDescent="0.3">
      <c r="F1458" s="90"/>
      <c r="G1458" s="90"/>
    </row>
    <row r="1459" spans="6:7" x14ac:dyDescent="0.3">
      <c r="F1459" s="90"/>
      <c r="G1459" s="90"/>
    </row>
    <row r="1460" spans="6:7" x14ac:dyDescent="0.3">
      <c r="F1460" s="90"/>
      <c r="G1460" s="90"/>
    </row>
    <row r="1461" spans="6:7" x14ac:dyDescent="0.3">
      <c r="F1461" s="90"/>
      <c r="G1461" s="90"/>
    </row>
    <row r="1462" spans="6:7" x14ac:dyDescent="0.3">
      <c r="F1462" s="90"/>
      <c r="G1462" s="90"/>
    </row>
    <row r="1463" spans="6:7" x14ac:dyDescent="0.3">
      <c r="F1463" s="90"/>
      <c r="G1463" s="90"/>
    </row>
    <row r="1464" spans="6:7" x14ac:dyDescent="0.3">
      <c r="F1464" s="90"/>
      <c r="G1464" s="90"/>
    </row>
    <row r="1465" spans="6:7" x14ac:dyDescent="0.3">
      <c r="F1465" s="90"/>
      <c r="G1465" s="90"/>
    </row>
    <row r="1466" spans="6:7" x14ac:dyDescent="0.3">
      <c r="F1466" s="90"/>
      <c r="G1466" s="90"/>
    </row>
    <row r="1467" spans="6:7" x14ac:dyDescent="0.3">
      <c r="F1467" s="90"/>
      <c r="G1467" s="90"/>
    </row>
    <row r="1468" spans="6:7" x14ac:dyDescent="0.3">
      <c r="F1468" s="90"/>
      <c r="G1468" s="90"/>
    </row>
    <row r="1469" spans="6:7" x14ac:dyDescent="0.3">
      <c r="F1469" s="90"/>
      <c r="G1469" s="90"/>
    </row>
    <row r="1470" spans="6:7" x14ac:dyDescent="0.3">
      <c r="F1470" s="90"/>
      <c r="G1470" s="90"/>
    </row>
    <row r="1471" spans="6:7" x14ac:dyDescent="0.3">
      <c r="F1471" s="90"/>
      <c r="G1471" s="90"/>
    </row>
    <row r="1472" spans="6:7" x14ac:dyDescent="0.3">
      <c r="F1472" s="90"/>
      <c r="G1472" s="90"/>
    </row>
    <row r="1473" spans="6:7" x14ac:dyDescent="0.3">
      <c r="F1473" s="90"/>
      <c r="G1473" s="90"/>
    </row>
    <row r="1474" spans="6:7" x14ac:dyDescent="0.3">
      <c r="F1474" s="90"/>
      <c r="G1474" s="90"/>
    </row>
    <row r="1475" spans="6:7" x14ac:dyDescent="0.3">
      <c r="F1475" s="90"/>
      <c r="G1475" s="90"/>
    </row>
    <row r="1476" spans="6:7" x14ac:dyDescent="0.3">
      <c r="F1476" s="90"/>
      <c r="G1476" s="90"/>
    </row>
    <row r="1477" spans="6:7" x14ac:dyDescent="0.3">
      <c r="F1477" s="90"/>
      <c r="G1477" s="90"/>
    </row>
    <row r="1478" spans="6:7" x14ac:dyDescent="0.3">
      <c r="F1478" s="90"/>
      <c r="G1478" s="90"/>
    </row>
    <row r="1479" spans="6:7" x14ac:dyDescent="0.3">
      <c r="F1479" s="90"/>
      <c r="G1479" s="90"/>
    </row>
    <row r="1480" spans="6:7" x14ac:dyDescent="0.3">
      <c r="F1480" s="90"/>
      <c r="G1480" s="90"/>
    </row>
    <row r="1481" spans="6:7" x14ac:dyDescent="0.3">
      <c r="F1481" s="90"/>
      <c r="G1481" s="90"/>
    </row>
    <row r="1482" spans="6:7" x14ac:dyDescent="0.3">
      <c r="F1482" s="90"/>
      <c r="G1482" s="90"/>
    </row>
    <row r="1483" spans="6:7" x14ac:dyDescent="0.3">
      <c r="F1483" s="90"/>
      <c r="G1483" s="90"/>
    </row>
    <row r="1484" spans="6:7" x14ac:dyDescent="0.3">
      <c r="F1484" s="90"/>
      <c r="G1484" s="90"/>
    </row>
    <row r="1485" spans="6:7" x14ac:dyDescent="0.3">
      <c r="F1485" s="90"/>
      <c r="G1485" s="90"/>
    </row>
    <row r="1486" spans="6:7" x14ac:dyDescent="0.3">
      <c r="F1486" s="90"/>
      <c r="G1486" s="90"/>
    </row>
    <row r="1487" spans="6:7" x14ac:dyDescent="0.3">
      <c r="F1487" s="90"/>
      <c r="G1487" s="90"/>
    </row>
    <row r="1488" spans="6:7" x14ac:dyDescent="0.3">
      <c r="F1488" s="90"/>
      <c r="G1488" s="90"/>
    </row>
    <row r="1489" spans="6:7" x14ac:dyDescent="0.3">
      <c r="F1489" s="90"/>
      <c r="G1489" s="90"/>
    </row>
    <row r="1490" spans="6:7" x14ac:dyDescent="0.3">
      <c r="F1490" s="90"/>
      <c r="G1490" s="90"/>
    </row>
    <row r="1491" spans="6:7" x14ac:dyDescent="0.3">
      <c r="F1491" s="90"/>
      <c r="G1491" s="90"/>
    </row>
    <row r="1492" spans="6:7" x14ac:dyDescent="0.3">
      <c r="F1492" s="90"/>
      <c r="G1492" s="90"/>
    </row>
    <row r="1493" spans="6:7" x14ac:dyDescent="0.3">
      <c r="F1493" s="90"/>
      <c r="G1493" s="90"/>
    </row>
    <row r="1494" spans="6:7" x14ac:dyDescent="0.3">
      <c r="F1494" s="90"/>
      <c r="G1494" s="90"/>
    </row>
    <row r="1495" spans="6:7" x14ac:dyDescent="0.3">
      <c r="F1495" s="90"/>
      <c r="G1495" s="90"/>
    </row>
    <row r="1496" spans="6:7" x14ac:dyDescent="0.3">
      <c r="F1496" s="90"/>
      <c r="G1496" s="90"/>
    </row>
    <row r="1497" spans="6:7" x14ac:dyDescent="0.3">
      <c r="F1497" s="90"/>
      <c r="G1497" s="90"/>
    </row>
    <row r="1498" spans="6:7" x14ac:dyDescent="0.3">
      <c r="F1498" s="90"/>
      <c r="G1498" s="90"/>
    </row>
    <row r="1499" spans="6:7" x14ac:dyDescent="0.3">
      <c r="F1499" s="90"/>
      <c r="G1499" s="90"/>
    </row>
    <row r="1500" spans="6:7" x14ac:dyDescent="0.3">
      <c r="F1500" s="90"/>
      <c r="G1500" s="90"/>
    </row>
    <row r="1501" spans="6:7" x14ac:dyDescent="0.3">
      <c r="F1501" s="90"/>
      <c r="G1501" s="90"/>
    </row>
    <row r="1502" spans="6:7" x14ac:dyDescent="0.3">
      <c r="F1502" s="90"/>
      <c r="G1502" s="90"/>
    </row>
    <row r="1503" spans="6:7" x14ac:dyDescent="0.3">
      <c r="F1503" s="90"/>
      <c r="G1503" s="90"/>
    </row>
    <row r="1504" spans="6:7" x14ac:dyDescent="0.3">
      <c r="F1504" s="90"/>
      <c r="G1504" s="90"/>
    </row>
    <row r="1505" spans="6:7" x14ac:dyDescent="0.3">
      <c r="F1505" s="90"/>
      <c r="G1505" s="90"/>
    </row>
    <row r="1506" spans="6:7" x14ac:dyDescent="0.3">
      <c r="F1506" s="90"/>
      <c r="G1506" s="90"/>
    </row>
    <row r="1507" spans="6:7" x14ac:dyDescent="0.3">
      <c r="F1507" s="90"/>
      <c r="G1507" s="90"/>
    </row>
    <row r="1508" spans="6:7" x14ac:dyDescent="0.3">
      <c r="F1508" s="90"/>
      <c r="G1508" s="90"/>
    </row>
    <row r="1509" spans="6:7" x14ac:dyDescent="0.3">
      <c r="F1509" s="90"/>
      <c r="G1509" s="90"/>
    </row>
    <row r="1510" spans="6:7" x14ac:dyDescent="0.3">
      <c r="F1510" s="90"/>
      <c r="G1510" s="90"/>
    </row>
    <row r="1511" spans="6:7" x14ac:dyDescent="0.3">
      <c r="F1511" s="90"/>
      <c r="G1511" s="90"/>
    </row>
    <row r="1512" spans="6:7" x14ac:dyDescent="0.3">
      <c r="F1512" s="90"/>
      <c r="G1512" s="90"/>
    </row>
    <row r="1513" spans="6:7" x14ac:dyDescent="0.3">
      <c r="F1513" s="90"/>
      <c r="G1513" s="90"/>
    </row>
    <row r="1514" spans="6:7" x14ac:dyDescent="0.3">
      <c r="F1514" s="90"/>
      <c r="G1514" s="90"/>
    </row>
    <row r="1515" spans="6:7" x14ac:dyDescent="0.3">
      <c r="F1515" s="90"/>
      <c r="G1515" s="90"/>
    </row>
    <row r="1516" spans="6:7" x14ac:dyDescent="0.3">
      <c r="F1516" s="90"/>
      <c r="G1516" s="90"/>
    </row>
    <row r="1517" spans="6:7" x14ac:dyDescent="0.3">
      <c r="F1517" s="90"/>
      <c r="G1517" s="90"/>
    </row>
    <row r="1518" spans="6:7" x14ac:dyDescent="0.3">
      <c r="F1518" s="90"/>
      <c r="G1518" s="90"/>
    </row>
    <row r="1519" spans="6:7" x14ac:dyDescent="0.3">
      <c r="F1519" s="90"/>
      <c r="G1519" s="90"/>
    </row>
    <row r="1520" spans="6:7" x14ac:dyDescent="0.3">
      <c r="F1520" s="90"/>
      <c r="G1520" s="90"/>
    </row>
    <row r="1521" spans="6:7" x14ac:dyDescent="0.3">
      <c r="F1521" s="90"/>
      <c r="G1521" s="90"/>
    </row>
    <row r="1522" spans="6:7" x14ac:dyDescent="0.3">
      <c r="F1522" s="90"/>
      <c r="G1522" s="90"/>
    </row>
    <row r="1523" spans="6:7" x14ac:dyDescent="0.3">
      <c r="F1523" s="90"/>
      <c r="G1523" s="90"/>
    </row>
    <row r="1524" spans="6:7" x14ac:dyDescent="0.3">
      <c r="F1524" s="90"/>
      <c r="G1524" s="90"/>
    </row>
    <row r="1525" spans="6:7" x14ac:dyDescent="0.3">
      <c r="F1525" s="90"/>
      <c r="G1525" s="90"/>
    </row>
    <row r="1526" spans="6:7" x14ac:dyDescent="0.3">
      <c r="F1526" s="90"/>
      <c r="G1526" s="90"/>
    </row>
    <row r="1527" spans="6:7" x14ac:dyDescent="0.3">
      <c r="F1527" s="90"/>
      <c r="G1527" s="90"/>
    </row>
    <row r="1528" spans="6:7" x14ac:dyDescent="0.3">
      <c r="F1528" s="90"/>
      <c r="G1528" s="90"/>
    </row>
    <row r="1529" spans="6:7" x14ac:dyDescent="0.3">
      <c r="F1529" s="90"/>
      <c r="G1529" s="90"/>
    </row>
    <row r="1530" spans="6:7" x14ac:dyDescent="0.3">
      <c r="F1530" s="90"/>
      <c r="G1530" s="90"/>
    </row>
    <row r="1531" spans="6:7" x14ac:dyDescent="0.3">
      <c r="F1531" s="90"/>
      <c r="G1531" s="90"/>
    </row>
    <row r="1532" spans="6:7" x14ac:dyDescent="0.3">
      <c r="F1532" s="90"/>
      <c r="G1532" s="90"/>
    </row>
    <row r="1533" spans="6:7" x14ac:dyDescent="0.3">
      <c r="F1533" s="90"/>
      <c r="G1533" s="90"/>
    </row>
    <row r="1534" spans="6:7" x14ac:dyDescent="0.3">
      <c r="F1534" s="90"/>
      <c r="G1534" s="90"/>
    </row>
    <row r="1535" spans="6:7" x14ac:dyDescent="0.3">
      <c r="F1535" s="90"/>
      <c r="G1535" s="90"/>
    </row>
    <row r="1536" spans="6:7" x14ac:dyDescent="0.3">
      <c r="F1536" s="90"/>
      <c r="G1536" s="90"/>
    </row>
    <row r="1537" spans="6:7" x14ac:dyDescent="0.3">
      <c r="F1537" s="90"/>
      <c r="G1537" s="90"/>
    </row>
    <row r="1538" spans="6:7" x14ac:dyDescent="0.3">
      <c r="F1538" s="90"/>
      <c r="G1538" s="90"/>
    </row>
    <row r="1539" spans="6:7" x14ac:dyDescent="0.3">
      <c r="F1539" s="90"/>
      <c r="G1539" s="90"/>
    </row>
    <row r="1540" spans="6:7" x14ac:dyDescent="0.3">
      <c r="F1540" s="90"/>
      <c r="G1540" s="90"/>
    </row>
    <row r="1541" spans="6:7" x14ac:dyDescent="0.3">
      <c r="F1541" s="90"/>
      <c r="G1541" s="90"/>
    </row>
    <row r="1542" spans="6:7" x14ac:dyDescent="0.3">
      <c r="F1542" s="90"/>
      <c r="G1542" s="90"/>
    </row>
    <row r="1543" spans="6:7" x14ac:dyDescent="0.3">
      <c r="F1543" s="90"/>
      <c r="G1543" s="90"/>
    </row>
    <row r="1544" spans="6:7" x14ac:dyDescent="0.3">
      <c r="F1544" s="90"/>
      <c r="G1544" s="90"/>
    </row>
    <row r="1545" spans="6:7" x14ac:dyDescent="0.3">
      <c r="F1545" s="90"/>
      <c r="G1545" s="90"/>
    </row>
    <row r="1546" spans="6:7" x14ac:dyDescent="0.3">
      <c r="F1546" s="90"/>
      <c r="G1546" s="90"/>
    </row>
    <row r="1547" spans="6:7" x14ac:dyDescent="0.3">
      <c r="F1547" s="90"/>
      <c r="G1547" s="90"/>
    </row>
    <row r="1548" spans="6:7" x14ac:dyDescent="0.3">
      <c r="F1548" s="90"/>
      <c r="G1548" s="90"/>
    </row>
    <row r="1549" spans="6:7" x14ac:dyDescent="0.3">
      <c r="F1549" s="90"/>
      <c r="G1549" s="90"/>
    </row>
    <row r="1550" spans="6:7" x14ac:dyDescent="0.3">
      <c r="F1550" s="90"/>
      <c r="G1550" s="90"/>
    </row>
    <row r="1551" spans="6:7" x14ac:dyDescent="0.3">
      <c r="F1551" s="90"/>
      <c r="G1551" s="90"/>
    </row>
    <row r="1552" spans="6:7" x14ac:dyDescent="0.3">
      <c r="F1552" s="90"/>
      <c r="G1552" s="90"/>
    </row>
    <row r="1553" spans="6:7" x14ac:dyDescent="0.3">
      <c r="F1553" s="90"/>
      <c r="G1553" s="90"/>
    </row>
    <row r="1554" spans="6:7" x14ac:dyDescent="0.3">
      <c r="F1554" s="90"/>
      <c r="G1554" s="90"/>
    </row>
    <row r="1555" spans="6:7" x14ac:dyDescent="0.3">
      <c r="F1555" s="90"/>
      <c r="G1555" s="90"/>
    </row>
    <row r="1556" spans="6:7" x14ac:dyDescent="0.3">
      <c r="F1556" s="90"/>
      <c r="G1556" s="90"/>
    </row>
    <row r="1557" spans="6:7" x14ac:dyDescent="0.3">
      <c r="F1557" s="90"/>
      <c r="G1557" s="90"/>
    </row>
    <row r="1558" spans="6:7" x14ac:dyDescent="0.3">
      <c r="F1558" s="90"/>
      <c r="G1558" s="90"/>
    </row>
    <row r="1559" spans="6:7" x14ac:dyDescent="0.3">
      <c r="F1559" s="90"/>
      <c r="G1559" s="90"/>
    </row>
    <row r="1560" spans="6:7" x14ac:dyDescent="0.3">
      <c r="F1560" s="90"/>
      <c r="G1560" s="90"/>
    </row>
    <row r="1561" spans="6:7" x14ac:dyDescent="0.3">
      <c r="F1561" s="90"/>
      <c r="G1561" s="90"/>
    </row>
    <row r="1562" spans="6:7" x14ac:dyDescent="0.3">
      <c r="F1562" s="90"/>
      <c r="G1562" s="90"/>
    </row>
    <row r="1563" spans="6:7" x14ac:dyDescent="0.3">
      <c r="F1563" s="90"/>
      <c r="G1563" s="90"/>
    </row>
    <row r="1564" spans="6:7" x14ac:dyDescent="0.3">
      <c r="F1564" s="90"/>
      <c r="G1564" s="90"/>
    </row>
    <row r="1565" spans="6:7" x14ac:dyDescent="0.3">
      <c r="F1565" s="90"/>
      <c r="G1565" s="90"/>
    </row>
    <row r="1566" spans="6:7" x14ac:dyDescent="0.3">
      <c r="F1566" s="90"/>
      <c r="G1566" s="90"/>
    </row>
    <row r="1567" spans="6:7" x14ac:dyDescent="0.3">
      <c r="F1567" s="90"/>
      <c r="G1567" s="90"/>
    </row>
    <row r="1568" spans="6:7" x14ac:dyDescent="0.3">
      <c r="F1568" s="90"/>
      <c r="G1568" s="90"/>
    </row>
    <row r="1569" spans="6:7" x14ac:dyDescent="0.3">
      <c r="F1569" s="90"/>
      <c r="G1569" s="90"/>
    </row>
    <row r="1570" spans="6:7" x14ac:dyDescent="0.3">
      <c r="F1570" s="90"/>
      <c r="G1570" s="90"/>
    </row>
    <row r="1571" spans="6:7" x14ac:dyDescent="0.3">
      <c r="F1571" s="90"/>
      <c r="G1571" s="90"/>
    </row>
    <row r="1572" spans="6:7" x14ac:dyDescent="0.3">
      <c r="F1572" s="90"/>
      <c r="G1572" s="90"/>
    </row>
    <row r="1573" spans="6:7" x14ac:dyDescent="0.3">
      <c r="F1573" s="90"/>
      <c r="G1573" s="90"/>
    </row>
    <row r="1574" spans="6:7" x14ac:dyDescent="0.3">
      <c r="F1574" s="90"/>
      <c r="G1574" s="90"/>
    </row>
    <row r="1575" spans="6:7" x14ac:dyDescent="0.3">
      <c r="F1575" s="90"/>
      <c r="G1575" s="90"/>
    </row>
    <row r="1576" spans="6:7" x14ac:dyDescent="0.3">
      <c r="F1576" s="90"/>
      <c r="G1576" s="90"/>
    </row>
    <row r="1577" spans="6:7" x14ac:dyDescent="0.3">
      <c r="F1577" s="90"/>
      <c r="G1577" s="90"/>
    </row>
    <row r="1578" spans="6:7" x14ac:dyDescent="0.3">
      <c r="F1578" s="90"/>
      <c r="G1578" s="90"/>
    </row>
    <row r="1579" spans="6:7" x14ac:dyDescent="0.3">
      <c r="F1579" s="90"/>
      <c r="G1579" s="90"/>
    </row>
    <row r="1580" spans="6:7" x14ac:dyDescent="0.3">
      <c r="F1580" s="90"/>
      <c r="G1580" s="90"/>
    </row>
    <row r="1581" spans="6:7" x14ac:dyDescent="0.3">
      <c r="F1581" s="90"/>
      <c r="G1581" s="90"/>
    </row>
    <row r="1582" spans="6:7" x14ac:dyDescent="0.3">
      <c r="F1582" s="90"/>
      <c r="G1582" s="90"/>
    </row>
    <row r="1583" spans="6:7" x14ac:dyDescent="0.3">
      <c r="F1583" s="90"/>
      <c r="G1583" s="90"/>
    </row>
    <row r="1584" spans="6:7" x14ac:dyDescent="0.3">
      <c r="F1584" s="90"/>
      <c r="G1584" s="90"/>
    </row>
    <row r="1585" spans="6:7" x14ac:dyDescent="0.3">
      <c r="F1585" s="90"/>
      <c r="G1585" s="90"/>
    </row>
    <row r="1586" spans="6:7" x14ac:dyDescent="0.3">
      <c r="F1586" s="90"/>
      <c r="G1586" s="90"/>
    </row>
    <row r="1587" spans="6:7" x14ac:dyDescent="0.3">
      <c r="F1587" s="90"/>
      <c r="G1587" s="90"/>
    </row>
    <row r="1588" spans="6:7" x14ac:dyDescent="0.3">
      <c r="F1588" s="90"/>
      <c r="G1588" s="90"/>
    </row>
    <row r="1589" spans="6:7" x14ac:dyDescent="0.3">
      <c r="F1589" s="90"/>
      <c r="G1589" s="90"/>
    </row>
    <row r="1590" spans="6:7" x14ac:dyDescent="0.3">
      <c r="F1590" s="90"/>
      <c r="G1590" s="90"/>
    </row>
    <row r="1591" spans="6:7" x14ac:dyDescent="0.3">
      <c r="F1591" s="90"/>
      <c r="G1591" s="90"/>
    </row>
    <row r="1592" spans="6:7" x14ac:dyDescent="0.3">
      <c r="F1592" s="90"/>
      <c r="G1592" s="90"/>
    </row>
    <row r="1593" spans="6:7" x14ac:dyDescent="0.3">
      <c r="F1593" s="90"/>
      <c r="G1593" s="90"/>
    </row>
    <row r="1594" spans="6:7" x14ac:dyDescent="0.3">
      <c r="F1594" s="90"/>
      <c r="G1594" s="90"/>
    </row>
    <row r="1595" spans="6:7" x14ac:dyDescent="0.3">
      <c r="F1595" s="90"/>
      <c r="G1595" s="90"/>
    </row>
    <row r="1596" spans="6:7" x14ac:dyDescent="0.3">
      <c r="F1596" s="90"/>
      <c r="G1596" s="90"/>
    </row>
    <row r="1597" spans="6:7" x14ac:dyDescent="0.3">
      <c r="F1597" s="90"/>
      <c r="G1597" s="90"/>
    </row>
    <row r="1598" spans="6:7" x14ac:dyDescent="0.3">
      <c r="F1598" s="90"/>
      <c r="G1598" s="90"/>
    </row>
    <row r="1599" spans="6:7" x14ac:dyDescent="0.3">
      <c r="F1599" s="90"/>
      <c r="G1599" s="90"/>
    </row>
    <row r="1600" spans="6:7" x14ac:dyDescent="0.3">
      <c r="F1600" s="90"/>
      <c r="G1600" s="90"/>
    </row>
    <row r="1601" spans="6:7" x14ac:dyDescent="0.3">
      <c r="F1601" s="90"/>
      <c r="G1601" s="90"/>
    </row>
    <row r="1602" spans="6:7" x14ac:dyDescent="0.3">
      <c r="F1602" s="90"/>
      <c r="G1602" s="90"/>
    </row>
    <row r="1603" spans="6:7" x14ac:dyDescent="0.3">
      <c r="F1603" s="90"/>
      <c r="G1603" s="90"/>
    </row>
    <row r="1604" spans="6:7" x14ac:dyDescent="0.3">
      <c r="F1604" s="90"/>
      <c r="G1604" s="90"/>
    </row>
    <row r="1605" spans="6:7" x14ac:dyDescent="0.3">
      <c r="F1605" s="90"/>
      <c r="G1605" s="90"/>
    </row>
    <row r="1606" spans="6:7" x14ac:dyDescent="0.3">
      <c r="F1606" s="90"/>
      <c r="G1606" s="90"/>
    </row>
    <row r="1607" spans="6:7" x14ac:dyDescent="0.3">
      <c r="F1607" s="90"/>
      <c r="G1607" s="90"/>
    </row>
    <row r="1608" spans="6:7" x14ac:dyDescent="0.3">
      <c r="F1608" s="90"/>
      <c r="G1608" s="90"/>
    </row>
    <row r="1609" spans="6:7" x14ac:dyDescent="0.3">
      <c r="F1609" s="90"/>
      <c r="G1609" s="90"/>
    </row>
    <row r="1610" spans="6:7" x14ac:dyDescent="0.3">
      <c r="F1610" s="90"/>
      <c r="G1610" s="90"/>
    </row>
    <row r="1611" spans="6:7" x14ac:dyDescent="0.3">
      <c r="F1611" s="90"/>
      <c r="G1611" s="90"/>
    </row>
    <row r="1612" spans="6:7" x14ac:dyDescent="0.3">
      <c r="F1612" s="90"/>
      <c r="G1612" s="90"/>
    </row>
    <row r="1613" spans="6:7" x14ac:dyDescent="0.3">
      <c r="F1613" s="90"/>
      <c r="G1613" s="90"/>
    </row>
    <row r="1614" spans="6:7" x14ac:dyDescent="0.3">
      <c r="F1614" s="90"/>
      <c r="G1614" s="90"/>
    </row>
    <row r="1615" spans="6:7" x14ac:dyDescent="0.3">
      <c r="F1615" s="90"/>
      <c r="G1615" s="90"/>
    </row>
    <row r="1616" spans="6:7" x14ac:dyDescent="0.3">
      <c r="F1616" s="90"/>
      <c r="G1616" s="90"/>
    </row>
    <row r="1617" spans="6:7" x14ac:dyDescent="0.3">
      <c r="F1617" s="90"/>
      <c r="G1617" s="90"/>
    </row>
    <row r="1618" spans="6:7" x14ac:dyDescent="0.3">
      <c r="F1618" s="90"/>
      <c r="G1618" s="90"/>
    </row>
    <row r="1619" spans="6:7" x14ac:dyDescent="0.3">
      <c r="F1619" s="90"/>
      <c r="G1619" s="90"/>
    </row>
    <row r="1620" spans="6:7" x14ac:dyDescent="0.3">
      <c r="F1620" s="90"/>
      <c r="G1620" s="90"/>
    </row>
    <row r="1621" spans="6:7" x14ac:dyDescent="0.3">
      <c r="F1621" s="90"/>
      <c r="G1621" s="90"/>
    </row>
    <row r="1622" spans="6:7" x14ac:dyDescent="0.3">
      <c r="F1622" s="90"/>
      <c r="G1622" s="90"/>
    </row>
    <row r="1623" spans="6:7" x14ac:dyDescent="0.3">
      <c r="F1623" s="90"/>
      <c r="G1623" s="90"/>
    </row>
    <row r="1624" spans="6:7" x14ac:dyDescent="0.3">
      <c r="F1624" s="90"/>
      <c r="G1624" s="90"/>
    </row>
    <row r="1625" spans="6:7" x14ac:dyDescent="0.3">
      <c r="F1625" s="90"/>
      <c r="G1625" s="90"/>
    </row>
    <row r="1626" spans="6:7" x14ac:dyDescent="0.3">
      <c r="F1626" s="90"/>
      <c r="G1626" s="90"/>
    </row>
    <row r="1627" spans="6:7" x14ac:dyDescent="0.3">
      <c r="F1627" s="90"/>
      <c r="G1627" s="90"/>
    </row>
    <row r="1628" spans="6:7" x14ac:dyDescent="0.3">
      <c r="F1628" s="90"/>
      <c r="G1628" s="90"/>
    </row>
    <row r="1629" spans="6:7" x14ac:dyDescent="0.3">
      <c r="F1629" s="90"/>
      <c r="G1629" s="90"/>
    </row>
    <row r="1630" spans="6:7" x14ac:dyDescent="0.3">
      <c r="F1630" s="90"/>
      <c r="G1630" s="90"/>
    </row>
    <row r="1631" spans="6:7" x14ac:dyDescent="0.3">
      <c r="F1631" s="90"/>
      <c r="G1631" s="90"/>
    </row>
    <row r="1632" spans="6:7" x14ac:dyDescent="0.3">
      <c r="F1632" s="90"/>
      <c r="G1632" s="90"/>
    </row>
    <row r="1633" spans="6:10" x14ac:dyDescent="0.3">
      <c r="F1633" s="90"/>
      <c r="G1633" s="90"/>
    </row>
    <row r="1634" spans="6:10" x14ac:dyDescent="0.3">
      <c r="F1634" s="90"/>
      <c r="G1634" s="90"/>
      <c r="J1634" s="93"/>
    </row>
    <row r="1635" spans="6:10" x14ac:dyDescent="0.3">
      <c r="F1635" s="90"/>
      <c r="G1635" s="90"/>
      <c r="J1635" s="93"/>
    </row>
    <row r="1636" spans="6:10" x14ac:dyDescent="0.3">
      <c r="F1636" s="90"/>
      <c r="G1636" s="90"/>
    </row>
    <row r="1637" spans="6:10" x14ac:dyDescent="0.3">
      <c r="F1637" s="90"/>
      <c r="G1637" s="90"/>
    </row>
    <row r="1638" spans="6:10" x14ac:dyDescent="0.3">
      <c r="F1638" s="90"/>
      <c r="G1638" s="90"/>
    </row>
    <row r="1639" spans="6:10" x14ac:dyDescent="0.3">
      <c r="F1639" s="90"/>
      <c r="G1639" s="90"/>
    </row>
    <row r="1640" spans="6:10" x14ac:dyDescent="0.3">
      <c r="F1640" s="90"/>
      <c r="G1640" s="90"/>
    </row>
    <row r="1641" spans="6:10" x14ac:dyDescent="0.3">
      <c r="F1641" s="90"/>
      <c r="G1641" s="90"/>
    </row>
    <row r="1642" spans="6:10" x14ac:dyDescent="0.3">
      <c r="F1642" s="90"/>
      <c r="G1642" s="90"/>
    </row>
    <row r="1643" spans="6:10" x14ac:dyDescent="0.3">
      <c r="F1643" s="90"/>
      <c r="G1643" s="90"/>
    </row>
    <row r="1644" spans="6:10" x14ac:dyDescent="0.3">
      <c r="F1644" s="90"/>
      <c r="G1644" s="90"/>
    </row>
    <row r="1645" spans="6:10" x14ac:dyDescent="0.3">
      <c r="F1645" s="90"/>
      <c r="G1645" s="90"/>
    </row>
    <row r="1646" spans="6:10" x14ac:dyDescent="0.3">
      <c r="F1646" s="90"/>
      <c r="G1646" s="90"/>
    </row>
    <row r="1647" spans="6:10" x14ac:dyDescent="0.3">
      <c r="F1647" s="90"/>
      <c r="G1647" s="90"/>
    </row>
    <row r="1648" spans="6:10" x14ac:dyDescent="0.3">
      <c r="F1648" s="90"/>
      <c r="G1648" s="90"/>
    </row>
    <row r="1649" spans="6:7" x14ac:dyDescent="0.3">
      <c r="F1649" s="90"/>
      <c r="G1649" s="90"/>
    </row>
    <row r="1650" spans="6:7" x14ac:dyDescent="0.3">
      <c r="F1650" s="90"/>
      <c r="G1650" s="90"/>
    </row>
    <row r="1651" spans="6:7" x14ac:dyDescent="0.3">
      <c r="F1651" s="90"/>
      <c r="G1651" s="90"/>
    </row>
    <row r="1652" spans="6:7" x14ac:dyDescent="0.3">
      <c r="F1652" s="90"/>
      <c r="G1652" s="90"/>
    </row>
    <row r="1653" spans="6:7" x14ac:dyDescent="0.3">
      <c r="F1653" s="90"/>
      <c r="G1653" s="90"/>
    </row>
    <row r="1654" spans="6:7" x14ac:dyDescent="0.3">
      <c r="F1654" s="90"/>
      <c r="G1654" s="90"/>
    </row>
    <row r="1655" spans="6:7" x14ac:dyDescent="0.3">
      <c r="F1655" s="90"/>
      <c r="G1655" s="90"/>
    </row>
    <row r="1656" spans="6:7" x14ac:dyDescent="0.3">
      <c r="F1656" s="90"/>
      <c r="G1656" s="90"/>
    </row>
    <row r="1657" spans="6:7" x14ac:dyDescent="0.3">
      <c r="F1657" s="90"/>
      <c r="G1657" s="90"/>
    </row>
    <row r="1658" spans="6:7" x14ac:dyDescent="0.3">
      <c r="F1658" s="90"/>
      <c r="G1658" s="90"/>
    </row>
    <row r="1659" spans="6:7" x14ac:dyDescent="0.3">
      <c r="F1659" s="90"/>
      <c r="G1659" s="90"/>
    </row>
    <row r="1660" spans="6:7" x14ac:dyDescent="0.3">
      <c r="F1660" s="90"/>
      <c r="G1660" s="90"/>
    </row>
    <row r="1661" spans="6:7" x14ac:dyDescent="0.3">
      <c r="F1661" s="90"/>
      <c r="G1661" s="90"/>
    </row>
    <row r="1662" spans="6:7" x14ac:dyDescent="0.3">
      <c r="F1662" s="90"/>
      <c r="G1662" s="90"/>
    </row>
    <row r="1663" spans="6:7" x14ac:dyDescent="0.3">
      <c r="F1663" s="90"/>
      <c r="G1663" s="90"/>
    </row>
    <row r="1664" spans="6:7" x14ac:dyDescent="0.3">
      <c r="F1664" s="90"/>
      <c r="G1664" s="90"/>
    </row>
    <row r="1665" spans="6:7" x14ac:dyDescent="0.3">
      <c r="F1665" s="90"/>
      <c r="G1665" s="90"/>
    </row>
    <row r="1666" spans="6:7" x14ac:dyDescent="0.3">
      <c r="F1666" s="90"/>
      <c r="G1666" s="90"/>
    </row>
    <row r="1667" spans="6:7" x14ac:dyDescent="0.3">
      <c r="F1667" s="90"/>
      <c r="G1667" s="90"/>
    </row>
    <row r="1668" spans="6:7" x14ac:dyDescent="0.3">
      <c r="F1668" s="90"/>
      <c r="G1668" s="90"/>
    </row>
    <row r="1669" spans="6:7" x14ac:dyDescent="0.3">
      <c r="F1669" s="90"/>
      <c r="G1669" s="90"/>
    </row>
    <row r="1670" spans="6:7" x14ac:dyDescent="0.3">
      <c r="F1670" s="90"/>
      <c r="G1670" s="90"/>
    </row>
    <row r="1671" spans="6:7" x14ac:dyDescent="0.3">
      <c r="F1671" s="90"/>
      <c r="G1671" s="90"/>
    </row>
    <row r="1672" spans="6:7" x14ac:dyDescent="0.3">
      <c r="F1672" s="90"/>
      <c r="G1672" s="90"/>
    </row>
    <row r="1673" spans="6:7" x14ac:dyDescent="0.3">
      <c r="F1673" s="90"/>
      <c r="G1673" s="90"/>
    </row>
    <row r="1674" spans="6:7" x14ac:dyDescent="0.3">
      <c r="F1674" s="90"/>
      <c r="G1674" s="90"/>
    </row>
    <row r="1675" spans="6:7" x14ac:dyDescent="0.3">
      <c r="F1675" s="90"/>
      <c r="G1675" s="90"/>
    </row>
    <row r="1676" spans="6:7" x14ac:dyDescent="0.3">
      <c r="F1676" s="90"/>
      <c r="G1676" s="90"/>
    </row>
    <row r="1677" spans="6:7" x14ac:dyDescent="0.3">
      <c r="F1677" s="90"/>
      <c r="G1677" s="90"/>
    </row>
    <row r="1678" spans="6:7" x14ac:dyDescent="0.3">
      <c r="F1678" s="90"/>
      <c r="G1678" s="90"/>
    </row>
    <row r="1679" spans="6:7" x14ac:dyDescent="0.3">
      <c r="F1679" s="90"/>
      <c r="G1679" s="90"/>
    </row>
    <row r="1680" spans="6:7" x14ac:dyDescent="0.3">
      <c r="F1680" s="90"/>
      <c r="G1680" s="90"/>
    </row>
    <row r="1681" spans="6:7" x14ac:dyDescent="0.3">
      <c r="F1681" s="90"/>
      <c r="G1681" s="90"/>
    </row>
    <row r="1682" spans="6:7" x14ac:dyDescent="0.3">
      <c r="F1682" s="90"/>
      <c r="G1682" s="90"/>
    </row>
    <row r="1683" spans="6:7" x14ac:dyDescent="0.3">
      <c r="F1683" s="90"/>
      <c r="G1683" s="90"/>
    </row>
    <row r="1684" spans="6:7" x14ac:dyDescent="0.3">
      <c r="F1684" s="90"/>
      <c r="G1684" s="90"/>
    </row>
    <row r="1685" spans="6:7" x14ac:dyDescent="0.3">
      <c r="F1685" s="90"/>
      <c r="G1685" s="90"/>
    </row>
    <row r="1686" spans="6:7" x14ac:dyDescent="0.3">
      <c r="F1686" s="90"/>
      <c r="G1686" s="90"/>
    </row>
    <row r="1687" spans="6:7" x14ac:dyDescent="0.3">
      <c r="F1687" s="90"/>
      <c r="G1687" s="90"/>
    </row>
    <row r="1688" spans="6:7" x14ac:dyDescent="0.3">
      <c r="F1688" s="90"/>
      <c r="G1688" s="90"/>
    </row>
    <row r="1689" spans="6:7" x14ac:dyDescent="0.3">
      <c r="F1689" s="90"/>
      <c r="G1689" s="90"/>
    </row>
    <row r="1690" spans="6:7" x14ac:dyDescent="0.3">
      <c r="F1690" s="90"/>
      <c r="G1690" s="90"/>
    </row>
    <row r="1691" spans="6:7" x14ac:dyDescent="0.3">
      <c r="F1691" s="90"/>
      <c r="G1691" s="90"/>
    </row>
    <row r="1692" spans="6:7" x14ac:dyDescent="0.3">
      <c r="F1692" s="90"/>
      <c r="G1692" s="90"/>
    </row>
    <row r="1693" spans="6:7" x14ac:dyDescent="0.3">
      <c r="F1693" s="90"/>
      <c r="G1693" s="90"/>
    </row>
    <row r="1694" spans="6:7" x14ac:dyDescent="0.3">
      <c r="F1694" s="90"/>
      <c r="G1694" s="90"/>
    </row>
    <row r="1695" spans="6:7" x14ac:dyDescent="0.3">
      <c r="F1695" s="90"/>
      <c r="G1695" s="90"/>
    </row>
    <row r="1696" spans="6:7" x14ac:dyDescent="0.3">
      <c r="F1696" s="90"/>
      <c r="G1696" s="90"/>
    </row>
    <row r="1697" spans="6:7" x14ac:dyDescent="0.3">
      <c r="F1697" s="90"/>
      <c r="G1697" s="90"/>
    </row>
    <row r="1698" spans="6:7" x14ac:dyDescent="0.3">
      <c r="F1698" s="90"/>
      <c r="G1698" s="90"/>
    </row>
    <row r="1699" spans="6:7" x14ac:dyDescent="0.3">
      <c r="F1699" s="90"/>
      <c r="G1699" s="90"/>
    </row>
    <row r="1700" spans="6:7" x14ac:dyDescent="0.3">
      <c r="F1700" s="90"/>
      <c r="G1700" s="90"/>
    </row>
    <row r="1701" spans="6:7" x14ac:dyDescent="0.3">
      <c r="F1701" s="90"/>
      <c r="G1701" s="90"/>
    </row>
    <row r="1702" spans="6:7" x14ac:dyDescent="0.3">
      <c r="F1702" s="90"/>
      <c r="G1702" s="90"/>
    </row>
    <row r="1703" spans="6:7" x14ac:dyDescent="0.3">
      <c r="F1703" s="90"/>
      <c r="G1703" s="90"/>
    </row>
    <row r="1704" spans="6:7" x14ac:dyDescent="0.3">
      <c r="F1704" s="90"/>
      <c r="G1704" s="90"/>
    </row>
    <row r="1705" spans="6:7" x14ac:dyDescent="0.3">
      <c r="F1705" s="90"/>
      <c r="G1705" s="90"/>
    </row>
    <row r="1706" spans="6:7" x14ac:dyDescent="0.3">
      <c r="F1706" s="90"/>
      <c r="G1706" s="90"/>
    </row>
    <row r="1707" spans="6:7" x14ac:dyDescent="0.3">
      <c r="F1707" s="90"/>
      <c r="G1707" s="90"/>
    </row>
    <row r="1708" spans="6:7" x14ac:dyDescent="0.3">
      <c r="F1708" s="90"/>
      <c r="G1708" s="90"/>
    </row>
    <row r="1709" spans="6:7" x14ac:dyDescent="0.3">
      <c r="F1709" s="90"/>
      <c r="G1709" s="90"/>
    </row>
    <row r="1710" spans="6:7" x14ac:dyDescent="0.3">
      <c r="F1710" s="90"/>
      <c r="G1710" s="90"/>
    </row>
    <row r="1711" spans="6:7" x14ac:dyDescent="0.3">
      <c r="F1711" s="90"/>
      <c r="G1711" s="90"/>
    </row>
    <row r="1712" spans="6:7" x14ac:dyDescent="0.3">
      <c r="F1712" s="90"/>
      <c r="G1712" s="90"/>
    </row>
    <row r="1713" spans="6:7" x14ac:dyDescent="0.3">
      <c r="F1713" s="90"/>
      <c r="G1713" s="90"/>
    </row>
    <row r="1714" spans="6:7" x14ac:dyDescent="0.3">
      <c r="F1714" s="90"/>
      <c r="G1714" s="90"/>
    </row>
    <row r="1715" spans="6:7" x14ac:dyDescent="0.3">
      <c r="F1715" s="90"/>
      <c r="G1715" s="90"/>
    </row>
    <row r="1716" spans="6:7" x14ac:dyDescent="0.3">
      <c r="F1716" s="90"/>
      <c r="G1716" s="90"/>
    </row>
    <row r="1717" spans="6:7" x14ac:dyDescent="0.3">
      <c r="F1717" s="90"/>
      <c r="G1717" s="90"/>
    </row>
    <row r="1718" spans="6:7" x14ac:dyDescent="0.3">
      <c r="F1718" s="90"/>
      <c r="G1718" s="90"/>
    </row>
    <row r="1719" spans="6:7" x14ac:dyDescent="0.3">
      <c r="F1719" s="90"/>
      <c r="G1719" s="90"/>
    </row>
    <row r="1720" spans="6:7" x14ac:dyDescent="0.3">
      <c r="F1720" s="90"/>
      <c r="G1720" s="90"/>
    </row>
    <row r="1721" spans="6:7" x14ac:dyDescent="0.3">
      <c r="F1721" s="90"/>
      <c r="G1721" s="90"/>
    </row>
    <row r="1722" spans="6:7" x14ac:dyDescent="0.3">
      <c r="F1722" s="90"/>
      <c r="G1722" s="90"/>
    </row>
    <row r="1723" spans="6:7" x14ac:dyDescent="0.3">
      <c r="F1723" s="90"/>
      <c r="G1723" s="90"/>
    </row>
    <row r="1724" spans="6:7" x14ac:dyDescent="0.3">
      <c r="F1724" s="90"/>
      <c r="G1724" s="90"/>
    </row>
    <row r="1725" spans="6:7" x14ac:dyDescent="0.3">
      <c r="F1725" s="90"/>
      <c r="G1725" s="90"/>
    </row>
    <row r="1726" spans="6:7" x14ac:dyDescent="0.3">
      <c r="F1726" s="90"/>
      <c r="G1726" s="90"/>
    </row>
    <row r="1727" spans="6:7" x14ac:dyDescent="0.3">
      <c r="F1727" s="90"/>
      <c r="G1727" s="90"/>
    </row>
    <row r="1728" spans="6:7" x14ac:dyDescent="0.3">
      <c r="F1728" s="90"/>
      <c r="G1728" s="90"/>
    </row>
    <row r="1729" spans="6:7" x14ac:dyDescent="0.3">
      <c r="F1729" s="90"/>
      <c r="G1729" s="90"/>
    </row>
    <row r="1730" spans="6:7" x14ac:dyDescent="0.3">
      <c r="F1730" s="90"/>
      <c r="G1730" s="90"/>
    </row>
    <row r="1731" spans="6:7" x14ac:dyDescent="0.3">
      <c r="F1731" s="90"/>
      <c r="G1731" s="90"/>
    </row>
    <row r="1732" spans="6:7" x14ac:dyDescent="0.3">
      <c r="F1732" s="90"/>
      <c r="G1732" s="90"/>
    </row>
    <row r="1733" spans="6:7" x14ac:dyDescent="0.3">
      <c r="F1733" s="90"/>
      <c r="G1733" s="90"/>
    </row>
    <row r="1734" spans="6:7" x14ac:dyDescent="0.3">
      <c r="F1734" s="90"/>
      <c r="G1734" s="90"/>
    </row>
    <row r="1735" spans="6:7" x14ac:dyDescent="0.3">
      <c r="F1735" s="90"/>
      <c r="G1735" s="90"/>
    </row>
    <row r="1736" spans="6:7" x14ac:dyDescent="0.3">
      <c r="F1736" s="90"/>
      <c r="G1736" s="90"/>
    </row>
    <row r="1737" spans="6:7" x14ac:dyDescent="0.3">
      <c r="F1737" s="90"/>
      <c r="G1737" s="90"/>
    </row>
    <row r="1738" spans="6:7" x14ac:dyDescent="0.3">
      <c r="F1738" s="90"/>
      <c r="G1738" s="90"/>
    </row>
    <row r="1739" spans="6:7" x14ac:dyDescent="0.3">
      <c r="F1739" s="90"/>
      <c r="G1739" s="90"/>
    </row>
    <row r="1740" spans="6:7" x14ac:dyDescent="0.3">
      <c r="F1740" s="90"/>
      <c r="G1740" s="90"/>
    </row>
    <row r="1741" spans="6:7" x14ac:dyDescent="0.3">
      <c r="F1741" s="90"/>
      <c r="G1741" s="90"/>
    </row>
    <row r="1742" spans="6:7" x14ac:dyDescent="0.3">
      <c r="F1742" s="90"/>
      <c r="G1742" s="90"/>
    </row>
    <row r="1743" spans="6:7" x14ac:dyDescent="0.3">
      <c r="F1743" s="90"/>
      <c r="G1743" s="90"/>
    </row>
    <row r="1744" spans="6:7" x14ac:dyDescent="0.3">
      <c r="F1744" s="90"/>
      <c r="G1744" s="90"/>
    </row>
    <row r="1745" spans="6:7" x14ac:dyDescent="0.3">
      <c r="F1745" s="90"/>
      <c r="G1745" s="90"/>
    </row>
    <row r="1746" spans="6:7" x14ac:dyDescent="0.3">
      <c r="F1746" s="90"/>
      <c r="G1746" s="90"/>
    </row>
    <row r="1747" spans="6:7" x14ac:dyDescent="0.3">
      <c r="F1747" s="90"/>
      <c r="G1747" s="90"/>
    </row>
    <row r="1748" spans="6:7" x14ac:dyDescent="0.3">
      <c r="F1748" s="90"/>
      <c r="G1748" s="90"/>
    </row>
    <row r="1749" spans="6:7" x14ac:dyDescent="0.3">
      <c r="F1749" s="90"/>
      <c r="G1749" s="90"/>
    </row>
    <row r="1750" spans="6:7" x14ac:dyDescent="0.3">
      <c r="F1750" s="90"/>
      <c r="G1750" s="90"/>
    </row>
    <row r="1751" spans="6:7" x14ac:dyDescent="0.3">
      <c r="F1751" s="90"/>
      <c r="G1751" s="90"/>
    </row>
    <row r="1752" spans="6:7" x14ac:dyDescent="0.3">
      <c r="F1752" s="90"/>
      <c r="G1752" s="90"/>
    </row>
    <row r="1753" spans="6:7" x14ac:dyDescent="0.3">
      <c r="F1753" s="90"/>
      <c r="G1753" s="90"/>
    </row>
    <row r="1754" spans="6:7" x14ac:dyDescent="0.3">
      <c r="F1754" s="90"/>
      <c r="G1754" s="90"/>
    </row>
    <row r="1755" spans="6:7" x14ac:dyDescent="0.3">
      <c r="F1755" s="90"/>
      <c r="G1755" s="90"/>
    </row>
    <row r="1756" spans="6:7" x14ac:dyDescent="0.3">
      <c r="F1756" s="90"/>
      <c r="G1756" s="90"/>
    </row>
    <row r="1757" spans="6:7" x14ac:dyDescent="0.3">
      <c r="F1757" s="90"/>
      <c r="G1757" s="90"/>
    </row>
    <row r="1758" spans="6:7" x14ac:dyDescent="0.3">
      <c r="F1758" s="90"/>
      <c r="G1758" s="90"/>
    </row>
    <row r="1759" spans="6:7" x14ac:dyDescent="0.3">
      <c r="F1759" s="90"/>
      <c r="G1759" s="90"/>
    </row>
    <row r="1760" spans="6:7" x14ac:dyDescent="0.3">
      <c r="F1760" s="90"/>
      <c r="G1760" s="90"/>
    </row>
    <row r="1761" spans="6:7" x14ac:dyDescent="0.3">
      <c r="F1761" s="90"/>
      <c r="G1761" s="90"/>
    </row>
    <row r="1762" spans="6:7" x14ac:dyDescent="0.3">
      <c r="F1762" s="90"/>
      <c r="G1762" s="90"/>
    </row>
    <row r="1763" spans="6:7" x14ac:dyDescent="0.3">
      <c r="F1763" s="90"/>
      <c r="G1763" s="90"/>
    </row>
    <row r="1764" spans="6:7" x14ac:dyDescent="0.3">
      <c r="F1764" s="90"/>
      <c r="G1764" s="90"/>
    </row>
    <row r="1765" spans="6:7" x14ac:dyDescent="0.3">
      <c r="F1765" s="90"/>
      <c r="G1765" s="90"/>
    </row>
    <row r="1766" spans="6:7" x14ac:dyDescent="0.3">
      <c r="F1766" s="90"/>
      <c r="G1766" s="90"/>
    </row>
    <row r="1767" spans="6:7" x14ac:dyDescent="0.3">
      <c r="F1767" s="90"/>
      <c r="G1767" s="90"/>
    </row>
    <row r="1768" spans="6:7" x14ac:dyDescent="0.3">
      <c r="F1768" s="90"/>
      <c r="G1768" s="90"/>
    </row>
    <row r="1769" spans="6:7" x14ac:dyDescent="0.3">
      <c r="F1769" s="90"/>
      <c r="G1769" s="90"/>
    </row>
    <row r="1770" spans="6:7" x14ac:dyDescent="0.3">
      <c r="F1770" s="90"/>
      <c r="G1770" s="90"/>
    </row>
    <row r="1771" spans="6:7" x14ac:dyDescent="0.3">
      <c r="F1771" s="90"/>
      <c r="G1771" s="90"/>
    </row>
    <row r="1772" spans="6:7" x14ac:dyDescent="0.3">
      <c r="F1772" s="90"/>
      <c r="G1772" s="90"/>
    </row>
    <row r="1773" spans="6:7" x14ac:dyDescent="0.3">
      <c r="F1773" s="90"/>
      <c r="G1773" s="90"/>
    </row>
    <row r="1774" spans="6:7" x14ac:dyDescent="0.3">
      <c r="F1774" s="90"/>
      <c r="G1774" s="90"/>
    </row>
    <row r="1775" spans="6:7" x14ac:dyDescent="0.3">
      <c r="F1775" s="90"/>
      <c r="G1775" s="90"/>
    </row>
    <row r="1776" spans="6:7" x14ac:dyDescent="0.3">
      <c r="F1776" s="90"/>
      <c r="G1776" s="90"/>
    </row>
    <row r="1777" spans="6:7" x14ac:dyDescent="0.3">
      <c r="F1777" s="90"/>
      <c r="G1777" s="90"/>
    </row>
    <row r="1778" spans="6:7" x14ac:dyDescent="0.3">
      <c r="F1778" s="90"/>
      <c r="G1778" s="90"/>
    </row>
    <row r="1779" spans="6:7" x14ac:dyDescent="0.3">
      <c r="F1779" s="90"/>
      <c r="G1779" s="90"/>
    </row>
    <row r="1780" spans="6:7" x14ac:dyDescent="0.3">
      <c r="F1780" s="90"/>
      <c r="G1780" s="90"/>
    </row>
    <row r="1781" spans="6:7" x14ac:dyDescent="0.3">
      <c r="F1781" s="90"/>
      <c r="G1781" s="90"/>
    </row>
    <row r="1782" spans="6:7" x14ac:dyDescent="0.3">
      <c r="F1782" s="90"/>
      <c r="G1782" s="90"/>
    </row>
    <row r="1783" spans="6:7" x14ac:dyDescent="0.3">
      <c r="F1783" s="90"/>
      <c r="G1783" s="90"/>
    </row>
    <row r="1784" spans="6:7" x14ac:dyDescent="0.3">
      <c r="F1784" s="90"/>
      <c r="G1784" s="90"/>
    </row>
    <row r="1785" spans="6:7" x14ac:dyDescent="0.3">
      <c r="F1785" s="90"/>
      <c r="G1785" s="90"/>
    </row>
    <row r="1786" spans="6:7" x14ac:dyDescent="0.3">
      <c r="F1786" s="90"/>
      <c r="G1786" s="90"/>
    </row>
    <row r="1787" spans="6:7" x14ac:dyDescent="0.3">
      <c r="F1787" s="90"/>
      <c r="G1787" s="90"/>
    </row>
    <row r="1788" spans="6:7" x14ac:dyDescent="0.3">
      <c r="F1788" s="90"/>
      <c r="G1788" s="90"/>
    </row>
    <row r="1789" spans="6:7" x14ac:dyDescent="0.3">
      <c r="F1789" s="90"/>
      <c r="G1789" s="90"/>
    </row>
    <row r="1790" spans="6:7" x14ac:dyDescent="0.3">
      <c r="F1790" s="90"/>
      <c r="G1790" s="90"/>
    </row>
    <row r="1791" spans="6:7" x14ac:dyDescent="0.3">
      <c r="F1791" s="90"/>
      <c r="G1791" s="90"/>
    </row>
    <row r="1792" spans="6:7" x14ac:dyDescent="0.3">
      <c r="F1792" s="90"/>
      <c r="G1792" s="90"/>
    </row>
    <row r="1793" spans="6:7" x14ac:dyDescent="0.3">
      <c r="F1793" s="90"/>
      <c r="G1793" s="90"/>
    </row>
    <row r="1794" spans="6:7" x14ac:dyDescent="0.3">
      <c r="F1794" s="90"/>
      <c r="G1794" s="90"/>
    </row>
    <row r="1795" spans="6:7" x14ac:dyDescent="0.3">
      <c r="F1795" s="90"/>
      <c r="G1795" s="90"/>
    </row>
    <row r="1796" spans="6:7" x14ac:dyDescent="0.3">
      <c r="F1796" s="90"/>
      <c r="G1796" s="90"/>
    </row>
    <row r="1797" spans="6:7" x14ac:dyDescent="0.3">
      <c r="F1797" s="90"/>
      <c r="G1797" s="90"/>
    </row>
    <row r="1798" spans="6:7" x14ac:dyDescent="0.3">
      <c r="F1798" s="90"/>
      <c r="G1798" s="90"/>
    </row>
    <row r="1799" spans="6:7" x14ac:dyDescent="0.3">
      <c r="F1799" s="90"/>
      <c r="G1799" s="90"/>
    </row>
    <row r="1800" spans="6:7" x14ac:dyDescent="0.3">
      <c r="F1800" s="90"/>
      <c r="G1800" s="90"/>
    </row>
    <row r="1801" spans="6:7" x14ac:dyDescent="0.3">
      <c r="F1801" s="90"/>
      <c r="G1801" s="90"/>
    </row>
    <row r="1802" spans="6:7" x14ac:dyDescent="0.3">
      <c r="F1802" s="90"/>
      <c r="G1802" s="90"/>
    </row>
    <row r="1803" spans="6:7" x14ac:dyDescent="0.3">
      <c r="F1803" s="90"/>
      <c r="G1803" s="90"/>
    </row>
    <row r="1804" spans="6:7" x14ac:dyDescent="0.3">
      <c r="F1804" s="90"/>
      <c r="G1804" s="90"/>
    </row>
    <row r="1805" spans="6:7" x14ac:dyDescent="0.3">
      <c r="F1805" s="90"/>
      <c r="G1805" s="90"/>
    </row>
    <row r="1806" spans="6:7" x14ac:dyDescent="0.3">
      <c r="F1806" s="90"/>
      <c r="G1806" s="90"/>
    </row>
    <row r="1807" spans="6:7" x14ac:dyDescent="0.3">
      <c r="F1807" s="90"/>
      <c r="G1807" s="90"/>
    </row>
    <row r="1808" spans="6:7" x14ac:dyDescent="0.3">
      <c r="F1808" s="90"/>
      <c r="G1808" s="90"/>
    </row>
    <row r="1809" spans="6:7" x14ac:dyDescent="0.3">
      <c r="F1809" s="90"/>
      <c r="G1809" s="90"/>
    </row>
    <row r="1810" spans="6:7" x14ac:dyDescent="0.3">
      <c r="F1810" s="90"/>
      <c r="G1810" s="90"/>
    </row>
    <row r="1811" spans="6:7" x14ac:dyDescent="0.3">
      <c r="F1811" s="90"/>
      <c r="G1811" s="90"/>
    </row>
    <row r="1812" spans="6:7" x14ac:dyDescent="0.3">
      <c r="F1812" s="90"/>
      <c r="G1812" s="90"/>
    </row>
    <row r="1813" spans="6:7" x14ac:dyDescent="0.3">
      <c r="F1813" s="90"/>
      <c r="G1813" s="90"/>
    </row>
    <row r="1814" spans="6:7" x14ac:dyDescent="0.3">
      <c r="F1814" s="90"/>
      <c r="G1814" s="90"/>
    </row>
    <row r="1815" spans="6:7" x14ac:dyDescent="0.3">
      <c r="F1815" s="90"/>
      <c r="G1815" s="90"/>
    </row>
    <row r="1816" spans="6:7" x14ac:dyDescent="0.3">
      <c r="F1816" s="90"/>
      <c r="G1816" s="90"/>
    </row>
    <row r="1817" spans="6:7" x14ac:dyDescent="0.3">
      <c r="F1817" s="90"/>
      <c r="G1817" s="90"/>
    </row>
    <row r="1818" spans="6:7" x14ac:dyDescent="0.3">
      <c r="F1818" s="90"/>
      <c r="G1818" s="90"/>
    </row>
    <row r="1819" spans="6:7" x14ac:dyDescent="0.3">
      <c r="F1819" s="90"/>
      <c r="G1819" s="90"/>
    </row>
    <row r="1820" spans="6:7" x14ac:dyDescent="0.3">
      <c r="F1820" s="90"/>
      <c r="G1820" s="90"/>
    </row>
    <row r="1821" spans="6:7" x14ac:dyDescent="0.3">
      <c r="F1821" s="90"/>
      <c r="G1821" s="90"/>
    </row>
    <row r="1822" spans="6:7" x14ac:dyDescent="0.3">
      <c r="F1822" s="90"/>
      <c r="G1822" s="90"/>
    </row>
    <row r="1823" spans="6:7" x14ac:dyDescent="0.3">
      <c r="F1823" s="90"/>
      <c r="G1823" s="90"/>
    </row>
    <row r="1824" spans="6:7" x14ac:dyDescent="0.3">
      <c r="F1824" s="90"/>
      <c r="G1824" s="90"/>
    </row>
    <row r="1825" spans="6:7" x14ac:dyDescent="0.3">
      <c r="F1825" s="90"/>
      <c r="G1825" s="90"/>
    </row>
    <row r="1826" spans="6:7" x14ac:dyDescent="0.3">
      <c r="F1826" s="90"/>
      <c r="G1826" s="90"/>
    </row>
    <row r="1827" spans="6:7" x14ac:dyDescent="0.3">
      <c r="F1827" s="90"/>
      <c r="G1827" s="90"/>
    </row>
    <row r="1828" spans="6:7" x14ac:dyDescent="0.3">
      <c r="F1828" s="90"/>
      <c r="G1828" s="90"/>
    </row>
    <row r="1829" spans="6:7" x14ac:dyDescent="0.3">
      <c r="F1829" s="90"/>
      <c r="G1829" s="90"/>
    </row>
    <row r="1830" spans="6:7" x14ac:dyDescent="0.3">
      <c r="F1830" s="90"/>
      <c r="G1830" s="90"/>
    </row>
    <row r="1831" spans="6:7" x14ac:dyDescent="0.3">
      <c r="F1831" s="90"/>
      <c r="G1831" s="90"/>
    </row>
    <row r="1832" spans="6:7" x14ac:dyDescent="0.3">
      <c r="F1832" s="90"/>
      <c r="G1832" s="90"/>
    </row>
    <row r="1833" spans="6:7" x14ac:dyDescent="0.3">
      <c r="F1833" s="90"/>
      <c r="G1833" s="90"/>
    </row>
    <row r="1834" spans="6:7" x14ac:dyDescent="0.3">
      <c r="F1834" s="90"/>
      <c r="G1834" s="90"/>
    </row>
    <row r="1835" spans="6:7" x14ac:dyDescent="0.3">
      <c r="F1835" s="90"/>
      <c r="G1835" s="90"/>
    </row>
    <row r="1836" spans="6:7" x14ac:dyDescent="0.3">
      <c r="F1836" s="90"/>
      <c r="G1836" s="90"/>
    </row>
    <row r="1837" spans="6:7" x14ac:dyDescent="0.3">
      <c r="F1837" s="90"/>
      <c r="G1837" s="90"/>
    </row>
    <row r="1838" spans="6:7" x14ac:dyDescent="0.3">
      <c r="F1838" s="90"/>
      <c r="G1838" s="90"/>
    </row>
    <row r="1839" spans="6:7" x14ac:dyDescent="0.3">
      <c r="F1839" s="90"/>
      <c r="G1839" s="90"/>
    </row>
    <row r="1840" spans="6:7" x14ac:dyDescent="0.3">
      <c r="F1840" s="90"/>
      <c r="G1840" s="90"/>
    </row>
    <row r="1841" spans="6:7" x14ac:dyDescent="0.3">
      <c r="F1841" s="90"/>
      <c r="G1841" s="90"/>
    </row>
    <row r="1842" spans="6:7" x14ac:dyDescent="0.3">
      <c r="F1842" s="90"/>
      <c r="G1842" s="90"/>
    </row>
    <row r="1843" spans="6:7" x14ac:dyDescent="0.3">
      <c r="F1843" s="90"/>
      <c r="G1843" s="90"/>
    </row>
    <row r="1844" spans="6:7" x14ac:dyDescent="0.3">
      <c r="F1844" s="90"/>
      <c r="G1844" s="90"/>
    </row>
    <row r="1845" spans="6:7" x14ac:dyDescent="0.3">
      <c r="F1845" s="90"/>
      <c r="G1845" s="90"/>
    </row>
    <row r="1846" spans="6:7" x14ac:dyDescent="0.3">
      <c r="F1846" s="90"/>
      <c r="G1846" s="90"/>
    </row>
    <row r="1847" spans="6:7" x14ac:dyDescent="0.3">
      <c r="F1847" s="90"/>
      <c r="G1847" s="90"/>
    </row>
    <row r="1848" spans="6:7" x14ac:dyDescent="0.3">
      <c r="F1848" s="90"/>
      <c r="G1848" s="90"/>
    </row>
    <row r="1849" spans="6:7" x14ac:dyDescent="0.3">
      <c r="F1849" s="90"/>
      <c r="G1849" s="90"/>
    </row>
    <row r="1850" spans="6:7" x14ac:dyDescent="0.3">
      <c r="F1850" s="90"/>
      <c r="G1850" s="90"/>
    </row>
    <row r="1851" spans="6:7" x14ac:dyDescent="0.3">
      <c r="F1851" s="90"/>
      <c r="G1851" s="90"/>
    </row>
    <row r="1852" spans="6:7" x14ac:dyDescent="0.3">
      <c r="F1852" s="90"/>
      <c r="G1852" s="90"/>
    </row>
    <row r="1853" spans="6:7" x14ac:dyDescent="0.3">
      <c r="F1853" s="90"/>
      <c r="G1853" s="90"/>
    </row>
    <row r="1854" spans="6:7" x14ac:dyDescent="0.3">
      <c r="F1854" s="90"/>
      <c r="G1854" s="90"/>
    </row>
    <row r="1855" spans="6:7" x14ac:dyDescent="0.3">
      <c r="F1855" s="90"/>
      <c r="G1855" s="90"/>
    </row>
    <row r="1856" spans="6:7" x14ac:dyDescent="0.3">
      <c r="F1856" s="90"/>
      <c r="G1856" s="90"/>
    </row>
    <row r="1857" spans="6:7" x14ac:dyDescent="0.3">
      <c r="F1857" s="90"/>
      <c r="G1857" s="90"/>
    </row>
    <row r="1858" spans="6:7" x14ac:dyDescent="0.3">
      <c r="F1858" s="90"/>
      <c r="G1858" s="90"/>
    </row>
    <row r="1859" spans="6:7" x14ac:dyDescent="0.3">
      <c r="F1859" s="90"/>
      <c r="G1859" s="90"/>
    </row>
    <row r="1860" spans="6:7" x14ac:dyDescent="0.3">
      <c r="F1860" s="90"/>
      <c r="G1860" s="90"/>
    </row>
    <row r="1861" spans="6:7" x14ac:dyDescent="0.3">
      <c r="F1861" s="90"/>
      <c r="G1861" s="90"/>
    </row>
    <row r="1862" spans="6:7" x14ac:dyDescent="0.3">
      <c r="F1862" s="90"/>
      <c r="G1862" s="90"/>
    </row>
    <row r="1863" spans="6:7" x14ac:dyDescent="0.3">
      <c r="F1863" s="90"/>
      <c r="G1863" s="90"/>
    </row>
    <row r="1864" spans="6:7" x14ac:dyDescent="0.3">
      <c r="F1864" s="90"/>
      <c r="G1864" s="90"/>
    </row>
    <row r="1865" spans="6:7" x14ac:dyDescent="0.3">
      <c r="F1865" s="90"/>
      <c r="G1865" s="90"/>
    </row>
    <row r="1866" spans="6:7" x14ac:dyDescent="0.3">
      <c r="F1866" s="90"/>
      <c r="G1866" s="90"/>
    </row>
    <row r="1867" spans="6:7" x14ac:dyDescent="0.3">
      <c r="F1867" s="90"/>
      <c r="G1867" s="90"/>
    </row>
    <row r="1868" spans="6:7" x14ac:dyDescent="0.3">
      <c r="F1868" s="90"/>
      <c r="G1868" s="90"/>
    </row>
    <row r="1869" spans="6:7" x14ac:dyDescent="0.3">
      <c r="F1869" s="90"/>
      <c r="G1869" s="90"/>
    </row>
    <row r="1870" spans="6:7" x14ac:dyDescent="0.3">
      <c r="F1870" s="90"/>
      <c r="G1870" s="90"/>
    </row>
    <row r="1871" spans="6:7" x14ac:dyDescent="0.3">
      <c r="F1871" s="90"/>
      <c r="G1871" s="90"/>
    </row>
    <row r="1872" spans="6:7" x14ac:dyDescent="0.3">
      <c r="F1872" s="90"/>
      <c r="G1872" s="90"/>
    </row>
    <row r="1873" spans="6:7" x14ac:dyDescent="0.3">
      <c r="F1873" s="90"/>
      <c r="G1873" s="90"/>
    </row>
    <row r="1874" spans="6:7" x14ac:dyDescent="0.3">
      <c r="F1874" s="90"/>
      <c r="G1874" s="90"/>
    </row>
    <row r="1875" spans="6:7" x14ac:dyDescent="0.3">
      <c r="F1875" s="90"/>
      <c r="G1875" s="90"/>
    </row>
    <row r="1876" spans="6:7" x14ac:dyDescent="0.3">
      <c r="F1876" s="90"/>
      <c r="G1876" s="90"/>
    </row>
    <row r="1877" spans="6:7" x14ac:dyDescent="0.3">
      <c r="F1877" s="90"/>
      <c r="G1877" s="90"/>
    </row>
    <row r="1878" spans="6:7" x14ac:dyDescent="0.3">
      <c r="F1878" s="90"/>
      <c r="G1878" s="90"/>
    </row>
    <row r="1879" spans="6:7" x14ac:dyDescent="0.3">
      <c r="F1879" s="90"/>
      <c r="G1879" s="90"/>
    </row>
    <row r="1880" spans="6:7" x14ac:dyDescent="0.3">
      <c r="F1880" s="90"/>
      <c r="G1880" s="90"/>
    </row>
    <row r="1881" spans="6:7" x14ac:dyDescent="0.3">
      <c r="F1881" s="90"/>
      <c r="G1881" s="90"/>
    </row>
    <row r="1882" spans="6:7" x14ac:dyDescent="0.3">
      <c r="F1882" s="90"/>
      <c r="G1882" s="90"/>
    </row>
    <row r="1883" spans="6:7" x14ac:dyDescent="0.3">
      <c r="F1883" s="90"/>
      <c r="G1883" s="90"/>
    </row>
    <row r="1884" spans="6:7" x14ac:dyDescent="0.3">
      <c r="F1884" s="90"/>
      <c r="G1884" s="90"/>
    </row>
    <row r="1885" spans="6:7" x14ac:dyDescent="0.3">
      <c r="F1885" s="90"/>
      <c r="G1885" s="90"/>
    </row>
    <row r="1886" spans="6:7" x14ac:dyDescent="0.3">
      <c r="F1886" s="90"/>
      <c r="G1886" s="90"/>
    </row>
    <row r="1887" spans="6:7" x14ac:dyDescent="0.3">
      <c r="F1887" s="90"/>
      <c r="G1887" s="90"/>
    </row>
    <row r="1888" spans="6:7" x14ac:dyDescent="0.3">
      <c r="F1888" s="90"/>
      <c r="G1888" s="90"/>
    </row>
    <row r="1889" spans="6:7" x14ac:dyDescent="0.3">
      <c r="F1889" s="90"/>
      <c r="G1889" s="90"/>
    </row>
    <row r="1890" spans="6:7" x14ac:dyDescent="0.3">
      <c r="F1890" s="90"/>
      <c r="G1890" s="90"/>
    </row>
    <row r="1891" spans="6:7" x14ac:dyDescent="0.3">
      <c r="F1891" s="90"/>
      <c r="G1891" s="90"/>
    </row>
    <row r="1892" spans="6:7" x14ac:dyDescent="0.3">
      <c r="F1892" s="90"/>
      <c r="G1892" s="90"/>
    </row>
    <row r="1893" spans="6:7" x14ac:dyDescent="0.3">
      <c r="F1893" s="90"/>
      <c r="G1893" s="90"/>
    </row>
    <row r="1894" spans="6:7" x14ac:dyDescent="0.3">
      <c r="F1894" s="90"/>
      <c r="G1894" s="90"/>
    </row>
    <row r="1895" spans="6:7" x14ac:dyDescent="0.3">
      <c r="F1895" s="90"/>
      <c r="G1895" s="90"/>
    </row>
    <row r="1896" spans="6:7" x14ac:dyDescent="0.3">
      <c r="F1896" s="90"/>
      <c r="G1896" s="90"/>
    </row>
    <row r="1897" spans="6:7" x14ac:dyDescent="0.3">
      <c r="F1897" s="90"/>
      <c r="G1897" s="90"/>
    </row>
    <row r="1898" spans="6:7" x14ac:dyDescent="0.3">
      <c r="F1898" s="90"/>
      <c r="G1898" s="90"/>
    </row>
    <row r="1899" spans="6:7" x14ac:dyDescent="0.3">
      <c r="F1899" s="90"/>
      <c r="G1899" s="90"/>
    </row>
    <row r="1900" spans="6:7" x14ac:dyDescent="0.3">
      <c r="F1900" s="90"/>
      <c r="G1900" s="90"/>
    </row>
    <row r="1901" spans="6:7" x14ac:dyDescent="0.3">
      <c r="F1901" s="90"/>
      <c r="G1901" s="90"/>
    </row>
    <row r="1902" spans="6:7" x14ac:dyDescent="0.3">
      <c r="F1902" s="90"/>
      <c r="G1902" s="90"/>
    </row>
    <row r="1903" spans="6:7" x14ac:dyDescent="0.3">
      <c r="F1903" s="90"/>
      <c r="G1903" s="90"/>
    </row>
    <row r="1904" spans="6:7" x14ac:dyDescent="0.3">
      <c r="F1904" s="90"/>
      <c r="G1904" s="90"/>
    </row>
    <row r="1905" spans="6:7" x14ac:dyDescent="0.3">
      <c r="F1905" s="90"/>
      <c r="G1905" s="90"/>
    </row>
    <row r="1906" spans="6:7" x14ac:dyDescent="0.3">
      <c r="F1906" s="90"/>
      <c r="G1906" s="90"/>
    </row>
    <row r="1907" spans="6:7" x14ac:dyDescent="0.3">
      <c r="F1907" s="90"/>
      <c r="G1907" s="90"/>
    </row>
    <row r="1908" spans="6:7" x14ac:dyDescent="0.3">
      <c r="F1908" s="90"/>
      <c r="G1908" s="90"/>
    </row>
    <row r="1909" spans="6:7" x14ac:dyDescent="0.3">
      <c r="F1909" s="90"/>
      <c r="G1909" s="90"/>
    </row>
    <row r="1910" spans="6:7" x14ac:dyDescent="0.3">
      <c r="F1910" s="90"/>
      <c r="G1910" s="90"/>
    </row>
    <row r="1911" spans="6:7" x14ac:dyDescent="0.3">
      <c r="F1911" s="90"/>
      <c r="G1911" s="90"/>
    </row>
    <row r="1912" spans="6:7" x14ac:dyDescent="0.3">
      <c r="F1912" s="90"/>
      <c r="G1912" s="90"/>
    </row>
    <row r="1913" spans="6:7" x14ac:dyDescent="0.3">
      <c r="F1913" s="90"/>
      <c r="G1913" s="90"/>
    </row>
    <row r="1914" spans="6:7" x14ac:dyDescent="0.3">
      <c r="F1914" s="90"/>
      <c r="G1914" s="90"/>
    </row>
    <row r="1915" spans="6:7" x14ac:dyDescent="0.3">
      <c r="F1915" s="90"/>
      <c r="G1915" s="90"/>
    </row>
    <row r="1916" spans="6:7" x14ac:dyDescent="0.3">
      <c r="F1916" s="90"/>
      <c r="G1916" s="90"/>
    </row>
    <row r="1917" spans="6:7" x14ac:dyDescent="0.3">
      <c r="F1917" s="90"/>
      <c r="G1917" s="90"/>
    </row>
    <row r="1918" spans="6:7" x14ac:dyDescent="0.3">
      <c r="F1918" s="90"/>
      <c r="G1918" s="90"/>
    </row>
    <row r="1919" spans="6:7" x14ac:dyDescent="0.3">
      <c r="F1919" s="90"/>
      <c r="G1919" s="90"/>
    </row>
    <row r="1920" spans="6:7" x14ac:dyDescent="0.3">
      <c r="F1920" s="90"/>
      <c r="G1920" s="90"/>
    </row>
    <row r="1921" spans="6:7" x14ac:dyDescent="0.3">
      <c r="F1921" s="90"/>
      <c r="G1921" s="90"/>
    </row>
    <row r="1922" spans="6:7" x14ac:dyDescent="0.3">
      <c r="F1922" s="90"/>
      <c r="G1922" s="90"/>
    </row>
    <row r="1923" spans="6:7" x14ac:dyDescent="0.3">
      <c r="F1923" s="90"/>
      <c r="G1923" s="90"/>
    </row>
    <row r="1924" spans="6:7" x14ac:dyDescent="0.3">
      <c r="F1924" s="90"/>
      <c r="G1924" s="90"/>
    </row>
    <row r="1925" spans="6:7" x14ac:dyDescent="0.3">
      <c r="F1925" s="90"/>
      <c r="G1925" s="90"/>
    </row>
    <row r="1926" spans="6:7" x14ac:dyDescent="0.3">
      <c r="F1926" s="90"/>
      <c r="G1926" s="90"/>
    </row>
    <row r="1927" spans="6:7" x14ac:dyDescent="0.3">
      <c r="F1927" s="90"/>
      <c r="G1927" s="90"/>
    </row>
    <row r="1928" spans="6:7" x14ac:dyDescent="0.3">
      <c r="F1928" s="90"/>
      <c r="G1928" s="90"/>
    </row>
    <row r="1929" spans="6:7" x14ac:dyDescent="0.3">
      <c r="F1929" s="90"/>
      <c r="G1929" s="90"/>
    </row>
    <row r="1930" spans="6:7" x14ac:dyDescent="0.3">
      <c r="F1930" s="90"/>
      <c r="G1930" s="90"/>
    </row>
    <row r="1931" spans="6:7" x14ac:dyDescent="0.3">
      <c r="F1931" s="90"/>
      <c r="G1931" s="90"/>
    </row>
    <row r="1932" spans="6:7" x14ac:dyDescent="0.3">
      <c r="F1932" s="90"/>
      <c r="G1932" s="90"/>
    </row>
    <row r="1933" spans="6:7" x14ac:dyDescent="0.3">
      <c r="F1933" s="90"/>
      <c r="G1933" s="90"/>
    </row>
    <row r="1934" spans="6:7" x14ac:dyDescent="0.3">
      <c r="F1934" s="90"/>
      <c r="G1934" s="90"/>
    </row>
    <row r="1935" spans="6:7" x14ac:dyDescent="0.3">
      <c r="F1935" s="90"/>
      <c r="G1935" s="90"/>
    </row>
    <row r="1936" spans="6:7" x14ac:dyDescent="0.3">
      <c r="F1936" s="90"/>
      <c r="G1936" s="90"/>
    </row>
    <row r="1937" spans="6:7" x14ac:dyDescent="0.3">
      <c r="F1937" s="90"/>
      <c r="G1937" s="90"/>
    </row>
    <row r="1938" spans="6:7" x14ac:dyDescent="0.3">
      <c r="F1938" s="90"/>
      <c r="G1938" s="90"/>
    </row>
    <row r="1939" spans="6:7" x14ac:dyDescent="0.3">
      <c r="F1939" s="90"/>
      <c r="G1939" s="90"/>
    </row>
    <row r="1940" spans="6:7" x14ac:dyDescent="0.3">
      <c r="F1940" s="90"/>
      <c r="G1940" s="90"/>
    </row>
    <row r="1941" spans="6:7" x14ac:dyDescent="0.3">
      <c r="F1941" s="90"/>
      <c r="G1941" s="90"/>
    </row>
    <row r="1942" spans="6:7" x14ac:dyDescent="0.3">
      <c r="F1942" s="90"/>
      <c r="G1942" s="90"/>
    </row>
    <row r="1943" spans="6:7" x14ac:dyDescent="0.3">
      <c r="F1943" s="90"/>
      <c r="G1943" s="90"/>
    </row>
    <row r="1944" spans="6:7" x14ac:dyDescent="0.3">
      <c r="F1944" s="90"/>
      <c r="G1944" s="90"/>
    </row>
    <row r="1945" spans="6:7" x14ac:dyDescent="0.3">
      <c r="F1945" s="90"/>
      <c r="G1945" s="90"/>
    </row>
    <row r="1946" spans="6:7" x14ac:dyDescent="0.3">
      <c r="F1946" s="90"/>
      <c r="G1946" s="90"/>
    </row>
    <row r="1947" spans="6:7" x14ac:dyDescent="0.3">
      <c r="F1947" s="90"/>
      <c r="G1947" s="90"/>
    </row>
    <row r="1948" spans="6:7" x14ac:dyDescent="0.3">
      <c r="F1948" s="90"/>
      <c r="G1948" s="90"/>
    </row>
    <row r="1949" spans="6:7" x14ac:dyDescent="0.3">
      <c r="F1949" s="90"/>
      <c r="G1949" s="90"/>
    </row>
    <row r="1950" spans="6:7" x14ac:dyDescent="0.3">
      <c r="F1950" s="90"/>
      <c r="G1950" s="90"/>
    </row>
    <row r="1951" spans="6:7" x14ac:dyDescent="0.3">
      <c r="F1951" s="90"/>
      <c r="G1951" s="90"/>
    </row>
    <row r="1952" spans="6:7" x14ac:dyDescent="0.3">
      <c r="F1952" s="90"/>
      <c r="G1952" s="90"/>
    </row>
    <row r="1953" spans="6:7" x14ac:dyDescent="0.3">
      <c r="F1953" s="90"/>
      <c r="G1953" s="90"/>
    </row>
    <row r="1954" spans="6:7" x14ac:dyDescent="0.3">
      <c r="F1954" s="90"/>
      <c r="G1954" s="90"/>
    </row>
    <row r="1955" spans="6:7" x14ac:dyDescent="0.3">
      <c r="F1955" s="90"/>
      <c r="G1955" s="90"/>
    </row>
    <row r="1956" spans="6:7" x14ac:dyDescent="0.3">
      <c r="F1956" s="90"/>
      <c r="G1956" s="90"/>
    </row>
    <row r="1957" spans="6:7" x14ac:dyDescent="0.3">
      <c r="F1957" s="90"/>
      <c r="G1957" s="90"/>
    </row>
    <row r="1958" spans="6:7" x14ac:dyDescent="0.3">
      <c r="F1958" s="90"/>
      <c r="G1958" s="90"/>
    </row>
    <row r="1959" spans="6:7" x14ac:dyDescent="0.3">
      <c r="F1959" s="90"/>
      <c r="G1959" s="90"/>
    </row>
    <row r="1960" spans="6:7" x14ac:dyDescent="0.3">
      <c r="F1960" s="90"/>
      <c r="G1960" s="90"/>
    </row>
    <row r="1961" spans="6:7" x14ac:dyDescent="0.3">
      <c r="F1961" s="90"/>
      <c r="G1961" s="90"/>
    </row>
    <row r="1962" spans="6:7" x14ac:dyDescent="0.3">
      <c r="F1962" s="90"/>
      <c r="G1962" s="90"/>
    </row>
    <row r="1963" spans="6:7" x14ac:dyDescent="0.3">
      <c r="F1963" s="90"/>
      <c r="G1963" s="90"/>
    </row>
    <row r="1964" spans="6:7" x14ac:dyDescent="0.3">
      <c r="F1964" s="90"/>
      <c r="G1964" s="90"/>
    </row>
    <row r="1965" spans="6:7" x14ac:dyDescent="0.3">
      <c r="F1965" s="90"/>
      <c r="G1965" s="90"/>
    </row>
    <row r="1966" spans="6:7" x14ac:dyDescent="0.3">
      <c r="F1966" s="90"/>
      <c r="G1966" s="90"/>
    </row>
    <row r="1967" spans="6:7" x14ac:dyDescent="0.3">
      <c r="F1967" s="90"/>
      <c r="G1967" s="90"/>
    </row>
    <row r="1968" spans="6:7" x14ac:dyDescent="0.3">
      <c r="F1968" s="90"/>
      <c r="G1968" s="90"/>
    </row>
    <row r="1969" spans="6:7" x14ac:dyDescent="0.3">
      <c r="F1969" s="90"/>
      <c r="G1969" s="90"/>
    </row>
    <row r="1970" spans="6:7" x14ac:dyDescent="0.3">
      <c r="F1970" s="90"/>
      <c r="G1970" s="90"/>
    </row>
    <row r="1971" spans="6:7" x14ac:dyDescent="0.3">
      <c r="F1971" s="90"/>
      <c r="G1971" s="90"/>
    </row>
    <row r="1972" spans="6:7" x14ac:dyDescent="0.3">
      <c r="F1972" s="90"/>
      <c r="G1972" s="90"/>
    </row>
    <row r="1973" spans="6:7" x14ac:dyDescent="0.3">
      <c r="F1973" s="90"/>
      <c r="G1973" s="90"/>
    </row>
    <row r="1974" spans="6:7" x14ac:dyDescent="0.3">
      <c r="F1974" s="90"/>
      <c r="G1974" s="90"/>
    </row>
    <row r="1975" spans="6:7" x14ac:dyDescent="0.3">
      <c r="F1975" s="90"/>
      <c r="G1975" s="90"/>
    </row>
    <row r="1976" spans="6:7" x14ac:dyDescent="0.3">
      <c r="F1976" s="90"/>
      <c r="G1976" s="90"/>
    </row>
    <row r="1977" spans="6:7" x14ac:dyDescent="0.3">
      <c r="F1977" s="90"/>
      <c r="G1977" s="90"/>
    </row>
    <row r="1978" spans="6:7" x14ac:dyDescent="0.3">
      <c r="F1978" s="90"/>
      <c r="G1978" s="90"/>
    </row>
    <row r="1979" spans="6:7" x14ac:dyDescent="0.3">
      <c r="F1979" s="90"/>
      <c r="G1979" s="90"/>
    </row>
    <row r="1980" spans="6:7" x14ac:dyDescent="0.3">
      <c r="F1980" s="90"/>
      <c r="G1980" s="90"/>
    </row>
    <row r="1981" spans="6:7" x14ac:dyDescent="0.3">
      <c r="F1981" s="90"/>
      <c r="G1981" s="90"/>
    </row>
    <row r="1982" spans="6:7" x14ac:dyDescent="0.3">
      <c r="F1982" s="90"/>
      <c r="G1982" s="90"/>
    </row>
    <row r="1983" spans="6:7" x14ac:dyDescent="0.3">
      <c r="F1983" s="90"/>
      <c r="G1983" s="90"/>
    </row>
    <row r="1984" spans="6:7" x14ac:dyDescent="0.3">
      <c r="F1984" s="90"/>
      <c r="G1984" s="90"/>
    </row>
    <row r="1985" spans="6:7" x14ac:dyDescent="0.3">
      <c r="F1985" s="90"/>
      <c r="G1985" s="90"/>
    </row>
    <row r="1986" spans="6:7" x14ac:dyDescent="0.3">
      <c r="F1986" s="90"/>
      <c r="G1986" s="90"/>
    </row>
    <row r="1987" spans="6:7" x14ac:dyDescent="0.3">
      <c r="F1987" s="90"/>
      <c r="G1987" s="90"/>
    </row>
    <row r="1988" spans="6:7" x14ac:dyDescent="0.3">
      <c r="F1988" s="90"/>
      <c r="G1988" s="90"/>
    </row>
    <row r="1989" spans="6:7" x14ac:dyDescent="0.3">
      <c r="F1989" s="90"/>
      <c r="G1989" s="90"/>
    </row>
    <row r="1990" spans="6:7" x14ac:dyDescent="0.3">
      <c r="F1990" s="90"/>
      <c r="G1990" s="90"/>
    </row>
    <row r="1991" spans="6:7" x14ac:dyDescent="0.3">
      <c r="F1991" s="90"/>
      <c r="G1991" s="90"/>
    </row>
    <row r="1992" spans="6:7" x14ac:dyDescent="0.3">
      <c r="F1992" s="90"/>
      <c r="G1992" s="90"/>
    </row>
    <row r="1993" spans="6:7" x14ac:dyDescent="0.3">
      <c r="F1993" s="90"/>
      <c r="G1993" s="90"/>
    </row>
    <row r="1994" spans="6:7" x14ac:dyDescent="0.3">
      <c r="F1994" s="90"/>
      <c r="G1994" s="90"/>
    </row>
    <row r="1995" spans="6:7" x14ac:dyDescent="0.3">
      <c r="F1995" s="90"/>
      <c r="G1995" s="90"/>
    </row>
    <row r="1996" spans="6:7" x14ac:dyDescent="0.3">
      <c r="F1996" s="90"/>
      <c r="G1996" s="90"/>
    </row>
    <row r="1997" spans="6:7" x14ac:dyDescent="0.3">
      <c r="F1997" s="90"/>
      <c r="G1997" s="90"/>
    </row>
    <row r="1998" spans="6:7" x14ac:dyDescent="0.3">
      <c r="F1998" s="90"/>
      <c r="G1998" s="90"/>
    </row>
    <row r="1999" spans="6:7" x14ac:dyDescent="0.3">
      <c r="F1999" s="90"/>
      <c r="G1999" s="90"/>
    </row>
    <row r="2000" spans="6:7" x14ac:dyDescent="0.3">
      <c r="F2000" s="90"/>
      <c r="G2000" s="90"/>
    </row>
    <row r="2001" spans="6:7" x14ac:dyDescent="0.3">
      <c r="F2001" s="90"/>
      <c r="G2001" s="90"/>
    </row>
    <row r="2002" spans="6:7" x14ac:dyDescent="0.3">
      <c r="F2002" s="90"/>
      <c r="G2002" s="90"/>
    </row>
    <row r="2003" spans="6:7" x14ac:dyDescent="0.3">
      <c r="F2003" s="90"/>
      <c r="G2003" s="90"/>
    </row>
    <row r="2004" spans="6:7" x14ac:dyDescent="0.3">
      <c r="F2004" s="90"/>
      <c r="G2004" s="90"/>
    </row>
    <row r="2005" spans="6:7" x14ac:dyDescent="0.3">
      <c r="F2005" s="90"/>
      <c r="G2005" s="90"/>
    </row>
    <row r="2006" spans="6:7" x14ac:dyDescent="0.3">
      <c r="F2006" s="90"/>
      <c r="G2006" s="90"/>
    </row>
    <row r="2007" spans="6:7" x14ac:dyDescent="0.3">
      <c r="F2007" s="90"/>
      <c r="G2007" s="90"/>
    </row>
    <row r="2008" spans="6:7" x14ac:dyDescent="0.3">
      <c r="F2008" s="90"/>
      <c r="G2008" s="90"/>
    </row>
    <row r="2009" spans="6:7" x14ac:dyDescent="0.3">
      <c r="F2009" s="90"/>
      <c r="G2009" s="90"/>
    </row>
    <row r="2010" spans="6:7" x14ac:dyDescent="0.3">
      <c r="F2010" s="90"/>
      <c r="G2010" s="90"/>
    </row>
    <row r="2011" spans="6:7" x14ac:dyDescent="0.3">
      <c r="F2011" s="90"/>
      <c r="G2011" s="90"/>
    </row>
    <row r="2012" spans="6:7" x14ac:dyDescent="0.3">
      <c r="F2012" s="90"/>
      <c r="G2012" s="90"/>
    </row>
    <row r="2013" spans="6:7" x14ac:dyDescent="0.3">
      <c r="F2013" s="90"/>
      <c r="G2013" s="90"/>
    </row>
    <row r="2014" spans="6:7" x14ac:dyDescent="0.3">
      <c r="F2014" s="90"/>
      <c r="G2014" s="90"/>
    </row>
    <row r="2015" spans="6:7" x14ac:dyDescent="0.3">
      <c r="F2015" s="90"/>
      <c r="G2015" s="90"/>
    </row>
    <row r="2016" spans="6:7" x14ac:dyDescent="0.3">
      <c r="F2016" s="90"/>
      <c r="G2016" s="90"/>
    </row>
    <row r="2017" spans="6:7" x14ac:dyDescent="0.3">
      <c r="F2017" s="90"/>
      <c r="G2017" s="90"/>
    </row>
    <row r="2018" spans="6:7" x14ac:dyDescent="0.3">
      <c r="F2018" s="90"/>
      <c r="G2018" s="90"/>
    </row>
    <row r="2019" spans="6:7" x14ac:dyDescent="0.3">
      <c r="F2019" s="90"/>
      <c r="G2019" s="90"/>
    </row>
    <row r="2020" spans="6:7" x14ac:dyDescent="0.3">
      <c r="F2020" s="90"/>
      <c r="G2020" s="90"/>
    </row>
    <row r="2021" spans="6:7" x14ac:dyDescent="0.3">
      <c r="F2021" s="90"/>
      <c r="G2021" s="90"/>
    </row>
    <row r="2022" spans="6:7" x14ac:dyDescent="0.3">
      <c r="F2022" s="90"/>
      <c r="G2022" s="90"/>
    </row>
    <row r="2023" spans="6:7" x14ac:dyDescent="0.3">
      <c r="F2023" s="90"/>
      <c r="G2023" s="90"/>
    </row>
    <row r="2024" spans="6:7" x14ac:dyDescent="0.3">
      <c r="F2024" s="90"/>
      <c r="G2024" s="90"/>
    </row>
    <row r="2025" spans="6:7" x14ac:dyDescent="0.3">
      <c r="F2025" s="90"/>
      <c r="G2025" s="90"/>
    </row>
    <row r="2026" spans="6:7" x14ac:dyDescent="0.3">
      <c r="F2026" s="90"/>
      <c r="G2026" s="90"/>
    </row>
    <row r="2027" spans="6:7" x14ac:dyDescent="0.3">
      <c r="F2027" s="90"/>
      <c r="G2027" s="90"/>
    </row>
    <row r="2028" spans="6:7" x14ac:dyDescent="0.3">
      <c r="F2028" s="90"/>
      <c r="G2028" s="90"/>
    </row>
    <row r="2029" spans="6:7" x14ac:dyDescent="0.3">
      <c r="F2029" s="90"/>
      <c r="G2029" s="90"/>
    </row>
    <row r="2030" spans="6:7" x14ac:dyDescent="0.3">
      <c r="F2030" s="90"/>
      <c r="G2030" s="90"/>
    </row>
    <row r="2031" spans="6:7" x14ac:dyDescent="0.3">
      <c r="F2031" s="90"/>
      <c r="G2031" s="90"/>
    </row>
    <row r="2032" spans="6:7" x14ac:dyDescent="0.3">
      <c r="F2032" s="90"/>
      <c r="G2032" s="90"/>
    </row>
    <row r="2033" spans="6:7" x14ac:dyDescent="0.3">
      <c r="F2033" s="90"/>
      <c r="G2033" s="90"/>
    </row>
    <row r="2034" spans="6:7" x14ac:dyDescent="0.3">
      <c r="F2034" s="90"/>
      <c r="G2034" s="90"/>
    </row>
    <row r="2035" spans="6:7" x14ac:dyDescent="0.3">
      <c r="F2035" s="90"/>
      <c r="G2035" s="90"/>
    </row>
    <row r="2036" spans="6:7" x14ac:dyDescent="0.3">
      <c r="F2036" s="90"/>
      <c r="G2036" s="90"/>
    </row>
    <row r="2037" spans="6:7" x14ac:dyDescent="0.3">
      <c r="F2037" s="90"/>
      <c r="G2037" s="90"/>
    </row>
    <row r="2038" spans="6:7" x14ac:dyDescent="0.3">
      <c r="F2038" s="90"/>
      <c r="G2038" s="90"/>
    </row>
    <row r="2039" spans="6:7" x14ac:dyDescent="0.3">
      <c r="F2039" s="90"/>
      <c r="G2039" s="90"/>
    </row>
    <row r="2040" spans="6:7" x14ac:dyDescent="0.3">
      <c r="F2040" s="90"/>
      <c r="G2040" s="90"/>
    </row>
    <row r="2041" spans="6:7" x14ac:dyDescent="0.3">
      <c r="F2041" s="90"/>
      <c r="G2041" s="90"/>
    </row>
    <row r="2042" spans="6:7" x14ac:dyDescent="0.3">
      <c r="F2042" s="90"/>
      <c r="G2042" s="90"/>
    </row>
    <row r="2043" spans="6:7" x14ac:dyDescent="0.3">
      <c r="F2043" s="90"/>
      <c r="G2043" s="90"/>
    </row>
    <row r="2044" spans="6:7" x14ac:dyDescent="0.3">
      <c r="F2044" s="90"/>
      <c r="G2044" s="90"/>
    </row>
    <row r="2045" spans="6:7" x14ac:dyDescent="0.3">
      <c r="F2045" s="90"/>
      <c r="G2045" s="90"/>
    </row>
    <row r="2046" spans="6:7" x14ac:dyDescent="0.3">
      <c r="F2046" s="90"/>
      <c r="G2046" s="90"/>
    </row>
    <row r="2047" spans="6:7" x14ac:dyDescent="0.3">
      <c r="F2047" s="90"/>
      <c r="G2047" s="90"/>
    </row>
    <row r="2048" spans="6:7" x14ac:dyDescent="0.3">
      <c r="F2048" s="90"/>
      <c r="G2048" s="90"/>
    </row>
    <row r="2049" spans="6:7" x14ac:dyDescent="0.3">
      <c r="F2049" s="90"/>
      <c r="G2049" s="90"/>
    </row>
    <row r="2050" spans="6:7" x14ac:dyDescent="0.3">
      <c r="F2050" s="90"/>
      <c r="G2050" s="90"/>
    </row>
    <row r="2051" spans="6:7" x14ac:dyDescent="0.3">
      <c r="F2051" s="90"/>
      <c r="G2051" s="90"/>
    </row>
    <row r="2052" spans="6:7" x14ac:dyDescent="0.3">
      <c r="F2052" s="90"/>
      <c r="G2052" s="90"/>
    </row>
    <row r="2053" spans="6:7" x14ac:dyDescent="0.3">
      <c r="F2053" s="90"/>
      <c r="G2053" s="90"/>
    </row>
    <row r="2054" spans="6:7" x14ac:dyDescent="0.3">
      <c r="F2054" s="90"/>
      <c r="G2054" s="90"/>
    </row>
    <row r="2055" spans="6:7" x14ac:dyDescent="0.3">
      <c r="F2055" s="90"/>
      <c r="G2055" s="90"/>
    </row>
    <row r="2056" spans="6:7" x14ac:dyDescent="0.3">
      <c r="F2056" s="90"/>
      <c r="G2056" s="90"/>
    </row>
    <row r="2057" spans="6:7" x14ac:dyDescent="0.3">
      <c r="F2057" s="90"/>
      <c r="G2057" s="90"/>
    </row>
    <row r="2058" spans="6:7" x14ac:dyDescent="0.3">
      <c r="F2058" s="90"/>
      <c r="G2058" s="90"/>
    </row>
    <row r="2059" spans="6:7" x14ac:dyDescent="0.3">
      <c r="F2059" s="90"/>
      <c r="G2059" s="90"/>
    </row>
    <row r="2060" spans="6:7" x14ac:dyDescent="0.3">
      <c r="F2060" s="90"/>
      <c r="G2060" s="90"/>
    </row>
    <row r="2061" spans="6:7" x14ac:dyDescent="0.3">
      <c r="F2061" s="90"/>
      <c r="G2061" s="90"/>
    </row>
    <row r="2062" spans="6:7" x14ac:dyDescent="0.3">
      <c r="F2062" s="90"/>
      <c r="G2062" s="90"/>
    </row>
    <row r="2063" spans="6:7" x14ac:dyDescent="0.3">
      <c r="F2063" s="90"/>
      <c r="G2063" s="90"/>
    </row>
    <row r="2064" spans="6:7" x14ac:dyDescent="0.3">
      <c r="F2064" s="90"/>
      <c r="G2064" s="90"/>
    </row>
    <row r="2065" spans="6:7" x14ac:dyDescent="0.3">
      <c r="F2065" s="90"/>
      <c r="G2065" s="90"/>
    </row>
    <row r="2066" spans="6:7" x14ac:dyDescent="0.3">
      <c r="F2066" s="90"/>
      <c r="G2066" s="90"/>
    </row>
    <row r="2067" spans="6:7" x14ac:dyDescent="0.3">
      <c r="F2067" s="90"/>
      <c r="G2067" s="90"/>
    </row>
    <row r="2068" spans="6:7" x14ac:dyDescent="0.3">
      <c r="F2068" s="90"/>
      <c r="G2068" s="90"/>
    </row>
    <row r="2069" spans="6:7" x14ac:dyDescent="0.3">
      <c r="F2069" s="90"/>
      <c r="G2069" s="90"/>
    </row>
    <row r="2070" spans="6:7" x14ac:dyDescent="0.3">
      <c r="F2070" s="90"/>
      <c r="G2070" s="90"/>
    </row>
    <row r="2071" spans="6:7" x14ac:dyDescent="0.3">
      <c r="F2071" s="90"/>
      <c r="G2071" s="90"/>
    </row>
    <row r="2072" spans="6:7" x14ac:dyDescent="0.3">
      <c r="F2072" s="90"/>
      <c r="G2072" s="90"/>
    </row>
    <row r="2073" spans="6:7" x14ac:dyDescent="0.3">
      <c r="F2073" s="90"/>
      <c r="G2073" s="90"/>
    </row>
    <row r="2074" spans="6:7" x14ac:dyDescent="0.3">
      <c r="F2074" s="90"/>
      <c r="G2074" s="90"/>
    </row>
    <row r="2075" spans="6:7" x14ac:dyDescent="0.3">
      <c r="F2075" s="90"/>
      <c r="G2075" s="90"/>
    </row>
    <row r="2076" spans="6:7" x14ac:dyDescent="0.3">
      <c r="F2076" s="90"/>
      <c r="G2076" s="90"/>
    </row>
    <row r="2077" spans="6:7" x14ac:dyDescent="0.3">
      <c r="F2077" s="90"/>
      <c r="G2077" s="90"/>
    </row>
    <row r="2078" spans="6:7" x14ac:dyDescent="0.3">
      <c r="F2078" s="90"/>
      <c r="G2078" s="90"/>
    </row>
    <row r="2079" spans="6:7" x14ac:dyDescent="0.3">
      <c r="F2079" s="90"/>
      <c r="G2079" s="90"/>
    </row>
    <row r="2080" spans="6:7" x14ac:dyDescent="0.3">
      <c r="F2080" s="90"/>
      <c r="G2080" s="90"/>
    </row>
    <row r="2081" spans="6:7" x14ac:dyDescent="0.3">
      <c r="F2081" s="90"/>
      <c r="G2081" s="90"/>
    </row>
    <row r="2082" spans="6:7" x14ac:dyDescent="0.3">
      <c r="F2082" s="90"/>
      <c r="G2082" s="90"/>
    </row>
    <row r="2083" spans="6:7" x14ac:dyDescent="0.3">
      <c r="F2083" s="90"/>
      <c r="G2083" s="90"/>
    </row>
    <row r="2084" spans="6:7" x14ac:dyDescent="0.3">
      <c r="F2084" s="90"/>
      <c r="G2084" s="90"/>
    </row>
    <row r="2085" spans="6:7" x14ac:dyDescent="0.3">
      <c r="F2085" s="90"/>
      <c r="G2085" s="90"/>
    </row>
    <row r="2086" spans="6:7" x14ac:dyDescent="0.3">
      <c r="F2086" s="90"/>
      <c r="G2086" s="90"/>
    </row>
    <row r="2087" spans="6:7" x14ac:dyDescent="0.3">
      <c r="F2087" s="90"/>
      <c r="G2087" s="90"/>
    </row>
    <row r="2088" spans="6:7" x14ac:dyDescent="0.3">
      <c r="F2088" s="90"/>
      <c r="G2088" s="90"/>
    </row>
    <row r="2089" spans="6:7" x14ac:dyDescent="0.3">
      <c r="F2089" s="90"/>
      <c r="G2089" s="90"/>
    </row>
    <row r="2090" spans="6:7" x14ac:dyDescent="0.3">
      <c r="F2090" s="90"/>
      <c r="G2090" s="90"/>
    </row>
    <row r="2091" spans="6:7" x14ac:dyDescent="0.3">
      <c r="F2091" s="90"/>
      <c r="G2091" s="90"/>
    </row>
    <row r="2092" spans="6:7" x14ac:dyDescent="0.3">
      <c r="F2092" s="90"/>
      <c r="G2092" s="90"/>
    </row>
    <row r="2093" spans="6:7" x14ac:dyDescent="0.3">
      <c r="F2093" s="90"/>
      <c r="G2093" s="90"/>
    </row>
    <row r="2094" spans="6:7" x14ac:dyDescent="0.3">
      <c r="F2094" s="90"/>
      <c r="G2094" s="90"/>
    </row>
    <row r="2095" spans="6:7" x14ac:dyDescent="0.3">
      <c r="F2095" s="90"/>
      <c r="G2095" s="90"/>
    </row>
    <row r="2096" spans="6:7" x14ac:dyDescent="0.3">
      <c r="F2096" s="90"/>
      <c r="G2096" s="90"/>
    </row>
    <row r="2097" spans="6:7" x14ac:dyDescent="0.3">
      <c r="F2097" s="90"/>
      <c r="G2097" s="90"/>
    </row>
    <row r="2098" spans="6:7" x14ac:dyDescent="0.3">
      <c r="F2098" s="90"/>
      <c r="G2098" s="90"/>
    </row>
    <row r="2099" spans="6:7" x14ac:dyDescent="0.3">
      <c r="F2099" s="90"/>
      <c r="G2099" s="90"/>
    </row>
    <row r="2100" spans="6:7" x14ac:dyDescent="0.3">
      <c r="F2100" s="90"/>
      <c r="G2100" s="90"/>
    </row>
    <row r="2101" spans="6:7" x14ac:dyDescent="0.3">
      <c r="F2101" s="90"/>
      <c r="G2101" s="90"/>
    </row>
    <row r="2102" spans="6:7" x14ac:dyDescent="0.3">
      <c r="F2102" s="90"/>
      <c r="G2102" s="90"/>
    </row>
    <row r="2103" spans="6:7" x14ac:dyDescent="0.3">
      <c r="F2103" s="90"/>
      <c r="G2103" s="90"/>
    </row>
    <row r="2104" spans="6:7" x14ac:dyDescent="0.3">
      <c r="F2104" s="90"/>
      <c r="G2104" s="90"/>
    </row>
    <row r="2105" spans="6:7" x14ac:dyDescent="0.3">
      <c r="F2105" s="90"/>
      <c r="G2105" s="90"/>
    </row>
    <row r="2106" spans="6:7" x14ac:dyDescent="0.3">
      <c r="F2106" s="90"/>
      <c r="G2106" s="90"/>
    </row>
    <row r="2107" spans="6:7" x14ac:dyDescent="0.3">
      <c r="F2107" s="90"/>
      <c r="G2107" s="90"/>
    </row>
    <row r="2108" spans="6:7" x14ac:dyDescent="0.3">
      <c r="F2108" s="90"/>
      <c r="G2108" s="90"/>
    </row>
    <row r="2109" spans="6:7" x14ac:dyDescent="0.3">
      <c r="F2109" s="90"/>
      <c r="G2109" s="90"/>
    </row>
    <row r="2110" spans="6:7" x14ac:dyDescent="0.3">
      <c r="F2110" s="90"/>
      <c r="G2110" s="90"/>
    </row>
    <row r="2111" spans="6:7" x14ac:dyDescent="0.3">
      <c r="F2111" s="90"/>
      <c r="G2111" s="90"/>
    </row>
    <row r="2112" spans="6:7" x14ac:dyDescent="0.3">
      <c r="F2112" s="90"/>
      <c r="G2112" s="90"/>
    </row>
    <row r="2113" spans="6:7" x14ac:dyDescent="0.3">
      <c r="F2113" s="90"/>
      <c r="G2113" s="90"/>
    </row>
    <row r="2114" spans="6:7" x14ac:dyDescent="0.3">
      <c r="F2114" s="90"/>
      <c r="G2114" s="90"/>
    </row>
    <row r="2115" spans="6:7" x14ac:dyDescent="0.3">
      <c r="F2115" s="90"/>
      <c r="G2115" s="90"/>
    </row>
    <row r="2116" spans="6:7" x14ac:dyDescent="0.3">
      <c r="F2116" s="90"/>
      <c r="G2116" s="90"/>
    </row>
    <row r="2117" spans="6:7" x14ac:dyDescent="0.3">
      <c r="F2117" s="90"/>
      <c r="G2117" s="90"/>
    </row>
    <row r="2118" spans="6:7" x14ac:dyDescent="0.3">
      <c r="F2118" s="90"/>
      <c r="G2118" s="90"/>
    </row>
    <row r="2119" spans="6:7" x14ac:dyDescent="0.3">
      <c r="F2119" s="90"/>
      <c r="G2119" s="90"/>
    </row>
    <row r="2120" spans="6:7" x14ac:dyDescent="0.3">
      <c r="F2120" s="90"/>
      <c r="G2120" s="90"/>
    </row>
    <row r="2121" spans="6:7" x14ac:dyDescent="0.3">
      <c r="F2121" s="90"/>
      <c r="G2121" s="90"/>
    </row>
    <row r="2122" spans="6:7" x14ac:dyDescent="0.3">
      <c r="F2122" s="90"/>
      <c r="G2122" s="90"/>
    </row>
    <row r="2123" spans="6:7" x14ac:dyDescent="0.3">
      <c r="F2123" s="90"/>
      <c r="G2123" s="90"/>
    </row>
    <row r="2124" spans="6:7" x14ac:dyDescent="0.3">
      <c r="F2124" s="90"/>
      <c r="G2124" s="90"/>
    </row>
    <row r="2125" spans="6:7" x14ac:dyDescent="0.3">
      <c r="F2125" s="90"/>
      <c r="G2125" s="90"/>
    </row>
    <row r="2126" spans="6:7" x14ac:dyDescent="0.3">
      <c r="F2126" s="90"/>
      <c r="G2126" s="90"/>
    </row>
    <row r="2127" spans="6:7" x14ac:dyDescent="0.3">
      <c r="F2127" s="90"/>
      <c r="G2127" s="90"/>
    </row>
    <row r="2128" spans="6:7" x14ac:dyDescent="0.3">
      <c r="F2128" s="90"/>
      <c r="G2128" s="90"/>
    </row>
    <row r="2129" spans="6:7" x14ac:dyDescent="0.3">
      <c r="F2129" s="90"/>
      <c r="G2129" s="90"/>
    </row>
    <row r="2130" spans="6:7" x14ac:dyDescent="0.3">
      <c r="F2130" s="90"/>
      <c r="G2130" s="90"/>
    </row>
    <row r="2131" spans="6:7" x14ac:dyDescent="0.3">
      <c r="F2131" s="90"/>
      <c r="G2131" s="90"/>
    </row>
    <row r="2132" spans="6:7" x14ac:dyDescent="0.3">
      <c r="F2132" s="90"/>
      <c r="G2132" s="90"/>
    </row>
    <row r="2133" spans="6:7" x14ac:dyDescent="0.3">
      <c r="F2133" s="90"/>
      <c r="G2133" s="90"/>
    </row>
    <row r="2134" spans="6:7" x14ac:dyDescent="0.3">
      <c r="F2134" s="90"/>
      <c r="G2134" s="90"/>
    </row>
    <row r="2135" spans="6:7" x14ac:dyDescent="0.3">
      <c r="F2135" s="90"/>
      <c r="G2135" s="90"/>
    </row>
    <row r="2136" spans="6:7" x14ac:dyDescent="0.3">
      <c r="F2136" s="90"/>
      <c r="G2136" s="90"/>
    </row>
    <row r="2137" spans="6:7" x14ac:dyDescent="0.3">
      <c r="F2137" s="90"/>
      <c r="G2137" s="90"/>
    </row>
    <row r="2138" spans="6:7" x14ac:dyDescent="0.3">
      <c r="F2138" s="90"/>
      <c r="G2138" s="90"/>
    </row>
    <row r="2139" spans="6:7" x14ac:dyDescent="0.3">
      <c r="F2139" s="90"/>
      <c r="G2139" s="90"/>
    </row>
    <row r="2140" spans="6:7" x14ac:dyDescent="0.3">
      <c r="F2140" s="90"/>
      <c r="G2140" s="90"/>
    </row>
    <row r="2141" spans="6:7" x14ac:dyDescent="0.3">
      <c r="F2141" s="90"/>
      <c r="G2141" s="90"/>
    </row>
    <row r="2142" spans="6:7" x14ac:dyDescent="0.3">
      <c r="F2142" s="90"/>
      <c r="G2142" s="90"/>
    </row>
    <row r="2143" spans="6:7" x14ac:dyDescent="0.3">
      <c r="F2143" s="90"/>
      <c r="G2143" s="90"/>
    </row>
    <row r="2144" spans="6:7" x14ac:dyDescent="0.3">
      <c r="F2144" s="90"/>
      <c r="G2144" s="90"/>
    </row>
    <row r="2145" spans="6:7" x14ac:dyDescent="0.3">
      <c r="F2145" s="90"/>
      <c r="G2145" s="90"/>
    </row>
    <row r="2146" spans="6:7" x14ac:dyDescent="0.3">
      <c r="F2146" s="90"/>
      <c r="G2146" s="90"/>
    </row>
    <row r="2147" spans="6:7" x14ac:dyDescent="0.3">
      <c r="F2147" s="90"/>
      <c r="G2147" s="90"/>
    </row>
    <row r="2148" spans="6:7" x14ac:dyDescent="0.3">
      <c r="F2148" s="90"/>
      <c r="G2148" s="90"/>
    </row>
    <row r="2149" spans="6:7" x14ac:dyDescent="0.3">
      <c r="F2149" s="90"/>
      <c r="G2149" s="90"/>
    </row>
    <row r="2150" spans="6:7" x14ac:dyDescent="0.3">
      <c r="F2150" s="90"/>
      <c r="G2150" s="90"/>
    </row>
    <row r="2151" spans="6:7" x14ac:dyDescent="0.3">
      <c r="F2151" s="90"/>
      <c r="G2151" s="90"/>
    </row>
    <row r="2152" spans="6:7" x14ac:dyDescent="0.3">
      <c r="F2152" s="90"/>
      <c r="G2152" s="90"/>
    </row>
    <row r="2153" spans="6:7" x14ac:dyDescent="0.3">
      <c r="F2153" s="90"/>
      <c r="G2153" s="90"/>
    </row>
    <row r="2154" spans="6:7" x14ac:dyDescent="0.3">
      <c r="F2154" s="90"/>
      <c r="G2154" s="90"/>
    </row>
    <row r="2155" spans="6:7" x14ac:dyDescent="0.3">
      <c r="F2155" s="90"/>
      <c r="G2155" s="90"/>
    </row>
    <row r="2156" spans="6:7" x14ac:dyDescent="0.3">
      <c r="F2156" s="90"/>
      <c r="G2156" s="90"/>
    </row>
    <row r="2157" spans="6:7" x14ac:dyDescent="0.3">
      <c r="F2157" s="90"/>
      <c r="G2157" s="90"/>
    </row>
    <row r="2158" spans="6:7" x14ac:dyDescent="0.3">
      <c r="F2158" s="90"/>
      <c r="G2158" s="90"/>
    </row>
    <row r="2159" spans="6:7" x14ac:dyDescent="0.3">
      <c r="F2159" s="90"/>
      <c r="G2159" s="90"/>
    </row>
    <row r="2160" spans="6:7" x14ac:dyDescent="0.3">
      <c r="F2160" s="90"/>
      <c r="G2160" s="90"/>
    </row>
    <row r="2161" spans="6:7" x14ac:dyDescent="0.3">
      <c r="F2161" s="90"/>
      <c r="G2161" s="90"/>
    </row>
    <row r="2162" spans="6:7" x14ac:dyDescent="0.3">
      <c r="F2162" s="90"/>
      <c r="G2162" s="90"/>
    </row>
    <row r="2163" spans="6:7" x14ac:dyDescent="0.3">
      <c r="F2163" s="90"/>
      <c r="G2163" s="90"/>
    </row>
    <row r="2164" spans="6:7" x14ac:dyDescent="0.3">
      <c r="F2164" s="90"/>
      <c r="G2164" s="90"/>
    </row>
    <row r="2165" spans="6:7" x14ac:dyDescent="0.3">
      <c r="F2165" s="90"/>
      <c r="G2165" s="90"/>
    </row>
    <row r="2166" spans="6:7" x14ac:dyDescent="0.3">
      <c r="F2166" s="90"/>
      <c r="G2166" s="90"/>
    </row>
    <row r="2167" spans="6:7" x14ac:dyDescent="0.3">
      <c r="F2167" s="90"/>
      <c r="G2167" s="90"/>
    </row>
    <row r="2168" spans="6:7" x14ac:dyDescent="0.3">
      <c r="F2168" s="90"/>
      <c r="G2168" s="90"/>
    </row>
    <row r="2169" spans="6:7" x14ac:dyDescent="0.3">
      <c r="F2169" s="90"/>
      <c r="G2169" s="90"/>
    </row>
    <row r="2170" spans="6:7" x14ac:dyDescent="0.3">
      <c r="F2170" s="90"/>
      <c r="G2170" s="90"/>
    </row>
    <row r="2171" spans="6:7" x14ac:dyDescent="0.3">
      <c r="F2171" s="90"/>
      <c r="G2171" s="90"/>
    </row>
    <row r="2172" spans="6:7" x14ac:dyDescent="0.3">
      <c r="F2172" s="90"/>
      <c r="G2172" s="90"/>
    </row>
    <row r="2173" spans="6:7" x14ac:dyDescent="0.3">
      <c r="F2173" s="90"/>
      <c r="G2173" s="90"/>
    </row>
    <row r="2174" spans="6:7" x14ac:dyDescent="0.3">
      <c r="F2174" s="90"/>
      <c r="G2174" s="90"/>
    </row>
    <row r="2175" spans="6:7" x14ac:dyDescent="0.3">
      <c r="F2175" s="90"/>
      <c r="G2175" s="90"/>
    </row>
    <row r="2176" spans="6:7" x14ac:dyDescent="0.3">
      <c r="F2176" s="90"/>
      <c r="G2176" s="90"/>
    </row>
    <row r="2177" spans="6:7" x14ac:dyDescent="0.3">
      <c r="F2177" s="90"/>
      <c r="G2177" s="90"/>
    </row>
    <row r="2178" spans="6:7" x14ac:dyDescent="0.3">
      <c r="F2178" s="90"/>
      <c r="G2178" s="90"/>
    </row>
    <row r="2179" spans="6:7" x14ac:dyDescent="0.3">
      <c r="F2179" s="90"/>
      <c r="G2179" s="90"/>
    </row>
    <row r="2180" spans="6:7" x14ac:dyDescent="0.3">
      <c r="F2180" s="90"/>
      <c r="G2180" s="90"/>
    </row>
    <row r="2181" spans="6:7" x14ac:dyDescent="0.3">
      <c r="F2181" s="90"/>
      <c r="G2181" s="90"/>
    </row>
    <row r="2182" spans="6:7" x14ac:dyDescent="0.3">
      <c r="F2182" s="90"/>
      <c r="G2182" s="90"/>
    </row>
    <row r="2183" spans="6:7" x14ac:dyDescent="0.3">
      <c r="F2183" s="90"/>
      <c r="G2183" s="90"/>
    </row>
    <row r="2184" spans="6:7" x14ac:dyDescent="0.3">
      <c r="F2184" s="90"/>
      <c r="G2184" s="90"/>
    </row>
    <row r="2185" spans="6:7" x14ac:dyDescent="0.3">
      <c r="F2185" s="90"/>
      <c r="G2185" s="90"/>
    </row>
    <row r="2186" spans="6:7" x14ac:dyDescent="0.3">
      <c r="F2186" s="90"/>
      <c r="G2186" s="90"/>
    </row>
    <row r="2187" spans="6:7" x14ac:dyDescent="0.3">
      <c r="F2187" s="90"/>
      <c r="G2187" s="90"/>
    </row>
    <row r="2188" spans="6:7" x14ac:dyDescent="0.3">
      <c r="F2188" s="90"/>
      <c r="G2188" s="90"/>
    </row>
    <row r="2189" spans="6:7" x14ac:dyDescent="0.3">
      <c r="F2189" s="90"/>
      <c r="G2189" s="90"/>
    </row>
    <row r="2190" spans="6:7" x14ac:dyDescent="0.3">
      <c r="F2190" s="90"/>
      <c r="G2190" s="90"/>
    </row>
    <row r="2191" spans="6:7" x14ac:dyDescent="0.3">
      <c r="F2191" s="90"/>
      <c r="G2191" s="90"/>
    </row>
    <row r="2192" spans="6:7" x14ac:dyDescent="0.3">
      <c r="F2192" s="90"/>
      <c r="G2192" s="90"/>
    </row>
    <row r="2193" spans="6:7" x14ac:dyDescent="0.3">
      <c r="F2193" s="90"/>
      <c r="G2193" s="90"/>
    </row>
    <row r="2194" spans="6:7" x14ac:dyDescent="0.3">
      <c r="F2194" s="90"/>
      <c r="G2194" s="90"/>
    </row>
    <row r="2195" spans="6:7" x14ac:dyDescent="0.3">
      <c r="F2195" s="90"/>
      <c r="G2195" s="90"/>
    </row>
    <row r="2196" spans="6:7" x14ac:dyDescent="0.3">
      <c r="F2196" s="90"/>
      <c r="G2196" s="90"/>
    </row>
    <row r="2197" spans="6:7" x14ac:dyDescent="0.3">
      <c r="F2197" s="90"/>
      <c r="G2197" s="90"/>
    </row>
    <row r="2198" spans="6:7" x14ac:dyDescent="0.3">
      <c r="F2198" s="90"/>
      <c r="G2198" s="90"/>
    </row>
    <row r="2199" spans="6:7" x14ac:dyDescent="0.3">
      <c r="F2199" s="90"/>
      <c r="G2199" s="90"/>
    </row>
    <row r="2200" spans="6:7" x14ac:dyDescent="0.3">
      <c r="F2200" s="90"/>
      <c r="G2200" s="90"/>
    </row>
    <row r="2201" spans="6:7" x14ac:dyDescent="0.3">
      <c r="F2201" s="90"/>
      <c r="G2201" s="90"/>
    </row>
    <row r="2202" spans="6:7" x14ac:dyDescent="0.3">
      <c r="F2202" s="90"/>
      <c r="G2202" s="90"/>
    </row>
    <row r="2203" spans="6:7" x14ac:dyDescent="0.3">
      <c r="F2203" s="90"/>
      <c r="G2203" s="90"/>
    </row>
    <row r="2204" spans="6:7" x14ac:dyDescent="0.3">
      <c r="F2204" s="90"/>
      <c r="G2204" s="90"/>
    </row>
    <row r="2205" spans="6:7" x14ac:dyDescent="0.3">
      <c r="F2205" s="90"/>
      <c r="G2205" s="90"/>
    </row>
    <row r="2206" spans="6:7" x14ac:dyDescent="0.3">
      <c r="F2206" s="90"/>
      <c r="G2206" s="90"/>
    </row>
    <row r="2207" spans="6:7" x14ac:dyDescent="0.3">
      <c r="F2207" s="90"/>
      <c r="G2207" s="90"/>
    </row>
    <row r="2208" spans="6:7" x14ac:dyDescent="0.3">
      <c r="F2208" s="90"/>
      <c r="G2208" s="90"/>
    </row>
    <row r="2209" spans="6:7" x14ac:dyDescent="0.3">
      <c r="F2209" s="90"/>
      <c r="G2209" s="90"/>
    </row>
    <row r="2210" spans="6:7" x14ac:dyDescent="0.3">
      <c r="F2210" s="90"/>
      <c r="G2210" s="90"/>
    </row>
    <row r="2211" spans="6:7" x14ac:dyDescent="0.3">
      <c r="F2211" s="90"/>
      <c r="G2211" s="90"/>
    </row>
    <row r="2212" spans="6:7" x14ac:dyDescent="0.3">
      <c r="F2212" s="90"/>
      <c r="G2212" s="90"/>
    </row>
    <row r="2213" spans="6:7" x14ac:dyDescent="0.3">
      <c r="F2213" s="90"/>
      <c r="G2213" s="90"/>
    </row>
    <row r="2214" spans="6:7" x14ac:dyDescent="0.3">
      <c r="F2214" s="90"/>
      <c r="G2214" s="90"/>
    </row>
    <row r="2215" spans="6:7" x14ac:dyDescent="0.3">
      <c r="F2215" s="90"/>
      <c r="G2215" s="90"/>
    </row>
    <row r="2216" spans="6:7" x14ac:dyDescent="0.3">
      <c r="F2216" s="90"/>
      <c r="G2216" s="90"/>
    </row>
    <row r="2217" spans="6:7" x14ac:dyDescent="0.3">
      <c r="F2217" s="90"/>
      <c r="G2217" s="90"/>
    </row>
    <row r="2218" spans="6:7" x14ac:dyDescent="0.3">
      <c r="F2218" s="90"/>
      <c r="G2218" s="90"/>
    </row>
    <row r="2219" spans="6:7" x14ac:dyDescent="0.3">
      <c r="F2219" s="90"/>
      <c r="G2219" s="90"/>
    </row>
    <row r="2220" spans="6:7" x14ac:dyDescent="0.3">
      <c r="F2220" s="90"/>
      <c r="G2220" s="90"/>
    </row>
    <row r="2221" spans="6:7" x14ac:dyDescent="0.3">
      <c r="F2221" s="90"/>
      <c r="G2221" s="90"/>
    </row>
    <row r="2222" spans="6:7" x14ac:dyDescent="0.3">
      <c r="F2222" s="90"/>
      <c r="G2222" s="90"/>
    </row>
    <row r="2223" spans="6:7" x14ac:dyDescent="0.3">
      <c r="F2223" s="90"/>
      <c r="G2223" s="90"/>
    </row>
    <row r="2224" spans="6:7" x14ac:dyDescent="0.3">
      <c r="F2224" s="90"/>
      <c r="G2224" s="90"/>
    </row>
    <row r="2225" spans="6:7" x14ac:dyDescent="0.3">
      <c r="F2225" s="90"/>
      <c r="G2225" s="90"/>
    </row>
    <row r="2226" spans="6:7" x14ac:dyDescent="0.3">
      <c r="F2226" s="90"/>
      <c r="G2226" s="90"/>
    </row>
    <row r="2227" spans="6:7" x14ac:dyDescent="0.3">
      <c r="F2227" s="90"/>
      <c r="G2227" s="90"/>
    </row>
    <row r="2228" spans="6:7" x14ac:dyDescent="0.3">
      <c r="F2228" s="90"/>
      <c r="G2228" s="90"/>
    </row>
    <row r="2229" spans="6:7" x14ac:dyDescent="0.3">
      <c r="F2229" s="90"/>
      <c r="G2229" s="90"/>
    </row>
    <row r="2230" spans="6:7" x14ac:dyDescent="0.3">
      <c r="F2230" s="90"/>
      <c r="G2230" s="90"/>
    </row>
    <row r="2231" spans="6:7" x14ac:dyDescent="0.3">
      <c r="F2231" s="90"/>
      <c r="G2231" s="90"/>
    </row>
    <row r="2232" spans="6:7" x14ac:dyDescent="0.3">
      <c r="F2232" s="90"/>
      <c r="G2232" s="90"/>
    </row>
    <row r="2233" spans="6:7" x14ac:dyDescent="0.3">
      <c r="F2233" s="90"/>
      <c r="G2233" s="90"/>
    </row>
    <row r="2234" spans="6:7" x14ac:dyDescent="0.3">
      <c r="F2234" s="90"/>
      <c r="G2234" s="90"/>
    </row>
    <row r="2235" spans="6:7" x14ac:dyDescent="0.3">
      <c r="F2235" s="90"/>
      <c r="G2235" s="90"/>
    </row>
    <row r="2236" spans="6:7" x14ac:dyDescent="0.3">
      <c r="F2236" s="90"/>
      <c r="G2236" s="90"/>
    </row>
    <row r="2237" spans="6:7" x14ac:dyDescent="0.3">
      <c r="F2237" s="90"/>
      <c r="G2237" s="90"/>
    </row>
    <row r="2238" spans="6:7" x14ac:dyDescent="0.3">
      <c r="F2238" s="90"/>
      <c r="G2238" s="90"/>
    </row>
    <row r="2239" spans="6:7" x14ac:dyDescent="0.3">
      <c r="F2239" s="90"/>
      <c r="G2239" s="90"/>
    </row>
    <row r="2240" spans="6:7" x14ac:dyDescent="0.3">
      <c r="F2240" s="90"/>
      <c r="G2240" s="90"/>
    </row>
    <row r="2241" spans="6:7" x14ac:dyDescent="0.3">
      <c r="F2241" s="90"/>
      <c r="G2241" s="90"/>
    </row>
    <row r="2242" spans="6:7" x14ac:dyDescent="0.3">
      <c r="F2242" s="90"/>
      <c r="G2242" s="90"/>
    </row>
    <row r="2243" spans="6:7" x14ac:dyDescent="0.3">
      <c r="F2243" s="90"/>
      <c r="G2243" s="90"/>
    </row>
    <row r="2244" spans="6:7" x14ac:dyDescent="0.3">
      <c r="F2244" s="90"/>
      <c r="G2244" s="90"/>
    </row>
    <row r="2245" spans="6:7" x14ac:dyDescent="0.3">
      <c r="F2245" s="90"/>
      <c r="G2245" s="90"/>
    </row>
    <row r="2246" spans="6:7" x14ac:dyDescent="0.3">
      <c r="F2246" s="90"/>
      <c r="G2246" s="90"/>
    </row>
    <row r="2247" spans="6:7" x14ac:dyDescent="0.3">
      <c r="F2247" s="90"/>
      <c r="G2247" s="90"/>
    </row>
    <row r="2248" spans="6:7" x14ac:dyDescent="0.3">
      <c r="F2248" s="90"/>
      <c r="G2248" s="90"/>
    </row>
    <row r="2249" spans="6:7" x14ac:dyDescent="0.3">
      <c r="F2249" s="90"/>
      <c r="G2249" s="90"/>
    </row>
    <row r="2250" spans="6:7" x14ac:dyDescent="0.3">
      <c r="F2250" s="90"/>
      <c r="G2250" s="90"/>
    </row>
    <row r="2251" spans="6:7" x14ac:dyDescent="0.3">
      <c r="F2251" s="90"/>
      <c r="G2251" s="90"/>
    </row>
    <row r="2252" spans="6:7" x14ac:dyDescent="0.3">
      <c r="F2252" s="90"/>
      <c r="G2252" s="90"/>
    </row>
    <row r="2253" spans="6:7" x14ac:dyDescent="0.3">
      <c r="F2253" s="90"/>
      <c r="G2253" s="90"/>
    </row>
    <row r="2254" spans="6:7" x14ac:dyDescent="0.3">
      <c r="F2254" s="90"/>
      <c r="G2254" s="90"/>
    </row>
    <row r="2255" spans="6:7" x14ac:dyDescent="0.3">
      <c r="F2255" s="90"/>
      <c r="G2255" s="90"/>
    </row>
    <row r="2256" spans="6:7" x14ac:dyDescent="0.3">
      <c r="F2256" s="90"/>
      <c r="G2256" s="90"/>
    </row>
    <row r="2257" spans="6:7" x14ac:dyDescent="0.3">
      <c r="F2257" s="90"/>
      <c r="G2257" s="90"/>
    </row>
    <row r="2258" spans="6:7" x14ac:dyDescent="0.3">
      <c r="F2258" s="90"/>
      <c r="G2258" s="90"/>
    </row>
    <row r="2259" spans="6:7" x14ac:dyDescent="0.3">
      <c r="F2259" s="90"/>
      <c r="G2259" s="90"/>
    </row>
    <row r="2260" spans="6:7" x14ac:dyDescent="0.3">
      <c r="F2260" s="90"/>
      <c r="G2260" s="90"/>
    </row>
    <row r="2261" spans="6:7" x14ac:dyDescent="0.3">
      <c r="F2261" s="90"/>
      <c r="G2261" s="90"/>
    </row>
    <row r="2262" spans="6:7" x14ac:dyDescent="0.3">
      <c r="F2262" s="90"/>
      <c r="G2262" s="90"/>
    </row>
    <row r="2263" spans="6:7" x14ac:dyDescent="0.3">
      <c r="F2263" s="90"/>
      <c r="G2263" s="90"/>
    </row>
    <row r="2264" spans="6:7" x14ac:dyDescent="0.3">
      <c r="F2264" s="90"/>
      <c r="G2264" s="90"/>
    </row>
    <row r="2265" spans="6:7" x14ac:dyDescent="0.3">
      <c r="F2265" s="90"/>
      <c r="G2265" s="90"/>
    </row>
    <row r="2266" spans="6:7" x14ac:dyDescent="0.3">
      <c r="F2266" s="90"/>
      <c r="G2266" s="90"/>
    </row>
    <row r="2267" spans="6:7" x14ac:dyDescent="0.3">
      <c r="F2267" s="90"/>
      <c r="G2267" s="90"/>
    </row>
    <row r="2268" spans="6:7" x14ac:dyDescent="0.3">
      <c r="F2268" s="90"/>
      <c r="G2268" s="90"/>
    </row>
    <row r="2269" spans="6:7" x14ac:dyDescent="0.3">
      <c r="F2269" s="90"/>
      <c r="G2269" s="90"/>
    </row>
    <row r="2270" spans="6:7" x14ac:dyDescent="0.3">
      <c r="F2270" s="90"/>
      <c r="G2270" s="90"/>
    </row>
    <row r="2271" spans="6:7" x14ac:dyDescent="0.3">
      <c r="F2271" s="90"/>
      <c r="G2271" s="90"/>
    </row>
    <row r="2272" spans="6:7" x14ac:dyDescent="0.3">
      <c r="F2272" s="90"/>
      <c r="G2272" s="90"/>
    </row>
    <row r="2273" spans="6:7" x14ac:dyDescent="0.3">
      <c r="F2273" s="90"/>
      <c r="G2273" s="90"/>
    </row>
    <row r="2274" spans="6:7" x14ac:dyDescent="0.3">
      <c r="F2274" s="90"/>
      <c r="G2274" s="90"/>
    </row>
    <row r="2275" spans="6:7" x14ac:dyDescent="0.3">
      <c r="F2275" s="90"/>
      <c r="G2275" s="90"/>
    </row>
    <row r="2276" spans="6:7" x14ac:dyDescent="0.3">
      <c r="F2276" s="90"/>
      <c r="G2276" s="90"/>
    </row>
    <row r="2277" spans="6:7" x14ac:dyDescent="0.3">
      <c r="F2277" s="90"/>
      <c r="G2277" s="90"/>
    </row>
    <row r="2278" spans="6:7" x14ac:dyDescent="0.3">
      <c r="F2278" s="90"/>
      <c r="G2278" s="90"/>
    </row>
    <row r="2279" spans="6:7" x14ac:dyDescent="0.3">
      <c r="F2279" s="90"/>
      <c r="G2279" s="90"/>
    </row>
    <row r="2280" spans="6:7" x14ac:dyDescent="0.3">
      <c r="F2280" s="90"/>
      <c r="G2280" s="90"/>
    </row>
    <row r="2281" spans="6:7" x14ac:dyDescent="0.3">
      <c r="F2281" s="90"/>
      <c r="G2281" s="90"/>
    </row>
    <row r="2282" spans="6:7" x14ac:dyDescent="0.3">
      <c r="F2282" s="90"/>
      <c r="G2282" s="90"/>
    </row>
    <row r="2283" spans="6:7" x14ac:dyDescent="0.3">
      <c r="F2283" s="90"/>
      <c r="G2283" s="90"/>
    </row>
    <row r="2284" spans="6:7" x14ac:dyDescent="0.3">
      <c r="F2284" s="90"/>
      <c r="G2284" s="90"/>
    </row>
    <row r="2285" spans="6:7" x14ac:dyDescent="0.3">
      <c r="F2285" s="90"/>
      <c r="G2285" s="90"/>
    </row>
    <row r="2286" spans="6:7" x14ac:dyDescent="0.3">
      <c r="F2286" s="90"/>
      <c r="G2286" s="90"/>
    </row>
    <row r="2287" spans="6:7" x14ac:dyDescent="0.3">
      <c r="F2287" s="90"/>
      <c r="G2287" s="90"/>
    </row>
    <row r="2288" spans="6:7" x14ac:dyDescent="0.3">
      <c r="F2288" s="90"/>
      <c r="G2288" s="90"/>
    </row>
    <row r="2289" spans="6:7" x14ac:dyDescent="0.3">
      <c r="F2289" s="90"/>
      <c r="G2289" s="90"/>
    </row>
    <row r="2290" spans="6:7" x14ac:dyDescent="0.3">
      <c r="F2290" s="90"/>
      <c r="G2290" s="90"/>
    </row>
    <row r="2291" spans="6:7" x14ac:dyDescent="0.3">
      <c r="F2291" s="90"/>
      <c r="G2291" s="90"/>
    </row>
    <row r="2292" spans="6:7" x14ac:dyDescent="0.3">
      <c r="F2292" s="90"/>
      <c r="G2292" s="90"/>
    </row>
    <row r="2293" spans="6:7" x14ac:dyDescent="0.3">
      <c r="F2293" s="90"/>
      <c r="G2293" s="90"/>
    </row>
    <row r="2294" spans="6:7" x14ac:dyDescent="0.3">
      <c r="F2294" s="90"/>
      <c r="G2294" s="90"/>
    </row>
    <row r="2295" spans="6:7" x14ac:dyDescent="0.3">
      <c r="F2295" s="90"/>
      <c r="G2295" s="90"/>
    </row>
    <row r="2296" spans="6:7" x14ac:dyDescent="0.3">
      <c r="F2296" s="90"/>
      <c r="G2296" s="90"/>
    </row>
    <row r="2297" spans="6:7" x14ac:dyDescent="0.3">
      <c r="F2297" s="90"/>
      <c r="G2297" s="90"/>
    </row>
    <row r="2298" spans="6:7" x14ac:dyDescent="0.3">
      <c r="F2298" s="90"/>
      <c r="G2298" s="90"/>
    </row>
    <row r="2299" spans="6:7" x14ac:dyDescent="0.3">
      <c r="F2299" s="90"/>
      <c r="G2299" s="90"/>
    </row>
    <row r="2300" spans="6:7" x14ac:dyDescent="0.3">
      <c r="F2300" s="90"/>
      <c r="G2300" s="90"/>
    </row>
    <row r="2301" spans="6:7" x14ac:dyDescent="0.3">
      <c r="F2301" s="90"/>
      <c r="G2301" s="90"/>
    </row>
    <row r="2302" spans="6:7" x14ac:dyDescent="0.3">
      <c r="F2302" s="90"/>
      <c r="G2302" s="90"/>
    </row>
    <row r="2303" spans="6:7" x14ac:dyDescent="0.3">
      <c r="F2303" s="90"/>
      <c r="G2303" s="90"/>
    </row>
    <row r="2304" spans="6:7" x14ac:dyDescent="0.3">
      <c r="F2304" s="90"/>
      <c r="G2304" s="90"/>
    </row>
    <row r="2305" spans="6:7" x14ac:dyDescent="0.3">
      <c r="F2305" s="90"/>
      <c r="G2305" s="90"/>
    </row>
    <row r="2306" spans="6:7" x14ac:dyDescent="0.3">
      <c r="F2306" s="90"/>
      <c r="G2306" s="90"/>
    </row>
    <row r="2307" spans="6:7" x14ac:dyDescent="0.3">
      <c r="F2307" s="90"/>
      <c r="G2307" s="90"/>
    </row>
    <row r="2308" spans="6:7" x14ac:dyDescent="0.3">
      <c r="F2308" s="90"/>
      <c r="G2308" s="90"/>
    </row>
    <row r="2309" spans="6:7" x14ac:dyDescent="0.3">
      <c r="F2309" s="90"/>
      <c r="G2309" s="90"/>
    </row>
    <row r="2310" spans="6:7" x14ac:dyDescent="0.3">
      <c r="F2310" s="90"/>
      <c r="G2310" s="90"/>
    </row>
    <row r="2311" spans="6:7" x14ac:dyDescent="0.3">
      <c r="F2311" s="90"/>
      <c r="G2311" s="90"/>
    </row>
    <row r="2312" spans="6:7" x14ac:dyDescent="0.3">
      <c r="F2312" s="90"/>
      <c r="G2312" s="90"/>
    </row>
    <row r="2313" spans="6:7" x14ac:dyDescent="0.3">
      <c r="F2313" s="90"/>
      <c r="G2313" s="90"/>
    </row>
    <row r="2314" spans="6:7" x14ac:dyDescent="0.3">
      <c r="F2314" s="90"/>
      <c r="G2314" s="90"/>
    </row>
    <row r="2315" spans="6:7" x14ac:dyDescent="0.3">
      <c r="F2315" s="90"/>
      <c r="G2315" s="90"/>
    </row>
    <row r="2316" spans="6:7" x14ac:dyDescent="0.3">
      <c r="F2316" s="90"/>
      <c r="G2316" s="90"/>
    </row>
    <row r="2317" spans="6:7" x14ac:dyDescent="0.3">
      <c r="F2317" s="90"/>
      <c r="G2317" s="90"/>
    </row>
    <row r="2318" spans="6:7" x14ac:dyDescent="0.3">
      <c r="F2318" s="90"/>
      <c r="G2318" s="90"/>
    </row>
    <row r="2319" spans="6:7" x14ac:dyDescent="0.3">
      <c r="F2319" s="90"/>
      <c r="G2319" s="90"/>
    </row>
    <row r="2320" spans="6:7" x14ac:dyDescent="0.3">
      <c r="F2320" s="90"/>
      <c r="G2320" s="90"/>
    </row>
    <row r="2321" spans="6:7" x14ac:dyDescent="0.3">
      <c r="F2321" s="90"/>
      <c r="G2321" s="90"/>
    </row>
    <row r="2322" spans="6:7" x14ac:dyDescent="0.3">
      <c r="F2322" s="90"/>
      <c r="G2322" s="90"/>
    </row>
    <row r="2323" spans="6:7" x14ac:dyDescent="0.3">
      <c r="F2323" s="90"/>
      <c r="G2323" s="90"/>
    </row>
    <row r="2324" spans="6:7" x14ac:dyDescent="0.3">
      <c r="F2324" s="90"/>
      <c r="G2324" s="90"/>
    </row>
    <row r="2325" spans="6:7" x14ac:dyDescent="0.3">
      <c r="F2325" s="90"/>
      <c r="G2325" s="90"/>
    </row>
    <row r="2326" spans="6:7" x14ac:dyDescent="0.3">
      <c r="F2326" s="90"/>
      <c r="G2326" s="90"/>
    </row>
    <row r="2327" spans="6:7" x14ac:dyDescent="0.3">
      <c r="F2327" s="90"/>
      <c r="G2327" s="90"/>
    </row>
    <row r="2328" spans="6:7" x14ac:dyDescent="0.3">
      <c r="F2328" s="90"/>
      <c r="G2328" s="90"/>
    </row>
    <row r="2329" spans="6:7" x14ac:dyDescent="0.3">
      <c r="F2329" s="90"/>
      <c r="G2329" s="90"/>
    </row>
    <row r="2330" spans="6:7" x14ac:dyDescent="0.3">
      <c r="F2330" s="90"/>
      <c r="G2330" s="90"/>
    </row>
    <row r="2331" spans="6:7" x14ac:dyDescent="0.3">
      <c r="F2331" s="90"/>
      <c r="G2331" s="90"/>
    </row>
    <row r="2332" spans="6:7" x14ac:dyDescent="0.3">
      <c r="F2332" s="90"/>
      <c r="G2332" s="90"/>
    </row>
    <row r="2333" spans="6:7" x14ac:dyDescent="0.3">
      <c r="F2333" s="90"/>
      <c r="G2333" s="90"/>
    </row>
    <row r="2334" spans="6:7" x14ac:dyDescent="0.3">
      <c r="F2334" s="90"/>
      <c r="G2334" s="90"/>
    </row>
    <row r="2335" spans="6:7" x14ac:dyDescent="0.3">
      <c r="F2335" s="90"/>
      <c r="G2335" s="90"/>
    </row>
    <row r="2336" spans="6:7" x14ac:dyDescent="0.3">
      <c r="F2336" s="90"/>
      <c r="G2336" s="90"/>
    </row>
    <row r="2337" spans="6:7" x14ac:dyDescent="0.3">
      <c r="F2337" s="90"/>
      <c r="G2337" s="90"/>
    </row>
    <row r="2338" spans="6:7" x14ac:dyDescent="0.3">
      <c r="F2338" s="90"/>
      <c r="G2338" s="90"/>
    </row>
    <row r="2339" spans="6:7" x14ac:dyDescent="0.3">
      <c r="F2339" s="90"/>
      <c r="G2339" s="90"/>
    </row>
    <row r="2340" spans="6:7" x14ac:dyDescent="0.3">
      <c r="F2340" s="90"/>
      <c r="G2340" s="90"/>
    </row>
    <row r="2341" spans="6:7" x14ac:dyDescent="0.3">
      <c r="F2341" s="90"/>
      <c r="G2341" s="90"/>
    </row>
    <row r="2342" spans="6:7" x14ac:dyDescent="0.3">
      <c r="F2342" s="90"/>
      <c r="G2342" s="90"/>
    </row>
    <row r="2343" spans="6:7" x14ac:dyDescent="0.3">
      <c r="F2343" s="90"/>
      <c r="G2343" s="90"/>
    </row>
    <row r="2344" spans="6:7" x14ac:dyDescent="0.3">
      <c r="F2344" s="90"/>
      <c r="G2344" s="90"/>
    </row>
    <row r="2345" spans="6:7" x14ac:dyDescent="0.3">
      <c r="F2345" s="90"/>
      <c r="G2345" s="90"/>
    </row>
    <row r="2346" spans="6:7" x14ac:dyDescent="0.3">
      <c r="F2346" s="90"/>
      <c r="G2346" s="90"/>
    </row>
    <row r="2347" spans="6:7" x14ac:dyDescent="0.3">
      <c r="F2347" s="90"/>
      <c r="G2347" s="90"/>
    </row>
    <row r="2348" spans="6:7" x14ac:dyDescent="0.3">
      <c r="F2348" s="90"/>
      <c r="G2348" s="90"/>
    </row>
    <row r="2349" spans="6:7" x14ac:dyDescent="0.3">
      <c r="F2349" s="90"/>
      <c r="G2349" s="90"/>
    </row>
    <row r="2350" spans="6:7" x14ac:dyDescent="0.3">
      <c r="F2350" s="90"/>
      <c r="G2350" s="90"/>
    </row>
    <row r="2351" spans="6:7" x14ac:dyDescent="0.3">
      <c r="F2351" s="90"/>
      <c r="G2351" s="90"/>
    </row>
    <row r="2352" spans="6:7" x14ac:dyDescent="0.3">
      <c r="F2352" s="90"/>
      <c r="G2352" s="90"/>
    </row>
    <row r="2353" spans="6:7" x14ac:dyDescent="0.3">
      <c r="F2353" s="90"/>
      <c r="G2353" s="90"/>
    </row>
    <row r="2354" spans="6:7" x14ac:dyDescent="0.3">
      <c r="F2354" s="90"/>
      <c r="G2354" s="90"/>
    </row>
    <row r="2355" spans="6:7" x14ac:dyDescent="0.3">
      <c r="F2355" s="90"/>
      <c r="G2355" s="90"/>
    </row>
    <row r="2356" spans="6:7" x14ac:dyDescent="0.3">
      <c r="F2356" s="90"/>
      <c r="G2356" s="90"/>
    </row>
    <row r="2357" spans="6:7" x14ac:dyDescent="0.3">
      <c r="F2357" s="90"/>
      <c r="G2357" s="90"/>
    </row>
    <row r="2358" spans="6:7" x14ac:dyDescent="0.3">
      <c r="F2358" s="90"/>
      <c r="G2358" s="90"/>
    </row>
    <row r="2359" spans="6:7" x14ac:dyDescent="0.3">
      <c r="F2359" s="90"/>
      <c r="G2359" s="90"/>
    </row>
    <row r="2360" spans="6:7" x14ac:dyDescent="0.3">
      <c r="F2360" s="90"/>
      <c r="G2360" s="90"/>
    </row>
    <row r="2361" spans="6:7" x14ac:dyDescent="0.3">
      <c r="F2361" s="90"/>
      <c r="G2361" s="90"/>
    </row>
    <row r="2362" spans="6:7" x14ac:dyDescent="0.3">
      <c r="F2362" s="90"/>
      <c r="G2362" s="90"/>
    </row>
    <row r="2363" spans="6:7" x14ac:dyDescent="0.3">
      <c r="F2363" s="90"/>
      <c r="G2363" s="90"/>
    </row>
    <row r="2364" spans="6:7" x14ac:dyDescent="0.3">
      <c r="F2364" s="90"/>
      <c r="G2364" s="90"/>
    </row>
    <row r="2365" spans="6:7" x14ac:dyDescent="0.3">
      <c r="F2365" s="90"/>
      <c r="G2365" s="90"/>
    </row>
    <row r="2366" spans="6:7" x14ac:dyDescent="0.3">
      <c r="F2366" s="90"/>
      <c r="G2366" s="90"/>
    </row>
    <row r="2367" spans="6:7" x14ac:dyDescent="0.3">
      <c r="F2367" s="90"/>
      <c r="G2367" s="90"/>
    </row>
    <row r="2368" spans="6:7" x14ac:dyDescent="0.3">
      <c r="F2368" s="90"/>
      <c r="G2368" s="90"/>
    </row>
    <row r="2369" spans="6:7" x14ac:dyDescent="0.3">
      <c r="F2369" s="90"/>
      <c r="G2369" s="90"/>
    </row>
    <row r="2370" spans="6:7" x14ac:dyDescent="0.3">
      <c r="F2370" s="90"/>
      <c r="G2370" s="90"/>
    </row>
    <row r="2371" spans="6:7" x14ac:dyDescent="0.3">
      <c r="F2371" s="90"/>
      <c r="G2371" s="90"/>
    </row>
    <row r="2372" spans="6:7" x14ac:dyDescent="0.3">
      <c r="F2372" s="90"/>
      <c r="G2372" s="90"/>
    </row>
    <row r="2373" spans="6:7" x14ac:dyDescent="0.3">
      <c r="F2373" s="90"/>
      <c r="G2373" s="90"/>
    </row>
    <row r="2374" spans="6:7" x14ac:dyDescent="0.3">
      <c r="F2374" s="90"/>
      <c r="G2374" s="90"/>
    </row>
    <row r="2375" spans="6:7" x14ac:dyDescent="0.3">
      <c r="F2375" s="90"/>
      <c r="G2375" s="90"/>
    </row>
    <row r="2376" spans="6:7" x14ac:dyDescent="0.3">
      <c r="F2376" s="90"/>
      <c r="G2376" s="90"/>
    </row>
    <row r="2377" spans="6:7" x14ac:dyDescent="0.3">
      <c r="F2377" s="90"/>
      <c r="G2377" s="90"/>
    </row>
    <row r="2378" spans="6:7" x14ac:dyDescent="0.3">
      <c r="F2378" s="90"/>
      <c r="G2378" s="90"/>
    </row>
    <row r="2379" spans="6:7" x14ac:dyDescent="0.3">
      <c r="F2379" s="90"/>
      <c r="G2379" s="90"/>
    </row>
    <row r="2380" spans="6:7" x14ac:dyDescent="0.3">
      <c r="F2380" s="90"/>
      <c r="G2380" s="90"/>
    </row>
    <row r="2381" spans="6:7" x14ac:dyDescent="0.3">
      <c r="F2381" s="90"/>
      <c r="G2381" s="90"/>
    </row>
    <row r="2382" spans="6:7" x14ac:dyDescent="0.3">
      <c r="F2382" s="90"/>
      <c r="G2382" s="90"/>
    </row>
    <row r="2383" spans="6:7" x14ac:dyDescent="0.3">
      <c r="F2383" s="90"/>
      <c r="G2383" s="90"/>
    </row>
    <row r="2384" spans="6:7" x14ac:dyDescent="0.3">
      <c r="F2384" s="90"/>
      <c r="G2384" s="90"/>
    </row>
    <row r="2385" spans="6:7" x14ac:dyDescent="0.3">
      <c r="F2385" s="90"/>
      <c r="G2385" s="90"/>
    </row>
    <row r="2386" spans="6:7" x14ac:dyDescent="0.3">
      <c r="F2386" s="90"/>
      <c r="G2386" s="90"/>
    </row>
    <row r="2387" spans="6:7" x14ac:dyDescent="0.3">
      <c r="F2387" s="90"/>
      <c r="G2387" s="90"/>
    </row>
    <row r="2388" spans="6:7" x14ac:dyDescent="0.3">
      <c r="F2388" s="90"/>
      <c r="G2388" s="90"/>
    </row>
    <row r="2389" spans="6:7" x14ac:dyDescent="0.3">
      <c r="F2389" s="90"/>
      <c r="G2389" s="90"/>
    </row>
    <row r="2390" spans="6:7" x14ac:dyDescent="0.3">
      <c r="F2390" s="90"/>
      <c r="G2390" s="90"/>
    </row>
    <row r="2391" spans="6:7" x14ac:dyDescent="0.3">
      <c r="F2391" s="90"/>
      <c r="G2391" s="90"/>
    </row>
    <row r="2392" spans="6:7" x14ac:dyDescent="0.3">
      <c r="F2392" s="90"/>
      <c r="G2392" s="90"/>
    </row>
    <row r="2393" spans="6:7" x14ac:dyDescent="0.3">
      <c r="F2393" s="90"/>
      <c r="G2393" s="90"/>
    </row>
    <row r="2394" spans="6:7" x14ac:dyDescent="0.3">
      <c r="F2394" s="90"/>
      <c r="G2394" s="90"/>
    </row>
    <row r="2395" spans="6:7" x14ac:dyDescent="0.3">
      <c r="F2395" s="90"/>
      <c r="G2395" s="90"/>
    </row>
    <row r="2396" spans="6:7" x14ac:dyDescent="0.3">
      <c r="F2396" s="90"/>
      <c r="G2396" s="90"/>
    </row>
    <row r="2397" spans="6:7" x14ac:dyDescent="0.3">
      <c r="F2397" s="90"/>
      <c r="G2397" s="90"/>
    </row>
    <row r="2398" spans="6:7" x14ac:dyDescent="0.3">
      <c r="F2398" s="90"/>
      <c r="G2398" s="90"/>
    </row>
    <row r="2399" spans="6:7" x14ac:dyDescent="0.3">
      <c r="F2399" s="90"/>
      <c r="G2399" s="90"/>
    </row>
    <row r="2400" spans="6:7" x14ac:dyDescent="0.3">
      <c r="F2400" s="90"/>
      <c r="G2400" s="90"/>
    </row>
    <row r="2401" spans="6:7" x14ac:dyDescent="0.3">
      <c r="F2401" s="90"/>
      <c r="G2401" s="90"/>
    </row>
    <row r="2402" spans="6:7" x14ac:dyDescent="0.3">
      <c r="F2402" s="90"/>
      <c r="G2402" s="90"/>
    </row>
    <row r="2403" spans="6:7" x14ac:dyDescent="0.3">
      <c r="F2403" s="90"/>
      <c r="G2403" s="90"/>
    </row>
    <row r="2404" spans="6:7" x14ac:dyDescent="0.3">
      <c r="F2404" s="90"/>
      <c r="G2404" s="90"/>
    </row>
    <row r="2405" spans="6:7" x14ac:dyDescent="0.3">
      <c r="F2405" s="90"/>
      <c r="G2405" s="90"/>
    </row>
    <row r="2406" spans="6:7" x14ac:dyDescent="0.3">
      <c r="F2406" s="90"/>
      <c r="G2406" s="90"/>
    </row>
    <row r="2407" spans="6:7" x14ac:dyDescent="0.3">
      <c r="F2407" s="90"/>
      <c r="G2407" s="90"/>
    </row>
    <row r="2408" spans="6:7" x14ac:dyDescent="0.3">
      <c r="F2408" s="90"/>
      <c r="G2408" s="90"/>
    </row>
    <row r="2409" spans="6:7" x14ac:dyDescent="0.3">
      <c r="F2409" s="90"/>
      <c r="G2409" s="90"/>
    </row>
    <row r="2410" spans="6:7" x14ac:dyDescent="0.3">
      <c r="F2410" s="90"/>
      <c r="G2410" s="90"/>
    </row>
    <row r="2411" spans="6:7" x14ac:dyDescent="0.3">
      <c r="F2411" s="90"/>
      <c r="G2411" s="90"/>
    </row>
    <row r="2412" spans="6:7" x14ac:dyDescent="0.3">
      <c r="F2412" s="90"/>
      <c r="G2412" s="90"/>
    </row>
    <row r="2413" spans="6:7" x14ac:dyDescent="0.3">
      <c r="F2413" s="90"/>
      <c r="G2413" s="90"/>
    </row>
    <row r="2414" spans="6:7" x14ac:dyDescent="0.3">
      <c r="F2414" s="90"/>
      <c r="G2414" s="90"/>
    </row>
    <row r="2415" spans="6:7" x14ac:dyDescent="0.3">
      <c r="F2415" s="90"/>
      <c r="G2415" s="90"/>
    </row>
    <row r="2416" spans="6:7" x14ac:dyDescent="0.3">
      <c r="F2416" s="90"/>
      <c r="G2416" s="90"/>
    </row>
    <row r="2417" spans="6:7" x14ac:dyDescent="0.3">
      <c r="F2417" s="90"/>
      <c r="G2417" s="90"/>
    </row>
    <row r="2418" spans="6:7" x14ac:dyDescent="0.3">
      <c r="F2418" s="90"/>
      <c r="G2418" s="90"/>
    </row>
    <row r="2419" spans="6:7" x14ac:dyDescent="0.3">
      <c r="F2419" s="90"/>
      <c r="G2419" s="90"/>
    </row>
    <row r="2420" spans="6:7" x14ac:dyDescent="0.3">
      <c r="F2420" s="90"/>
      <c r="G2420" s="90"/>
    </row>
    <row r="2421" spans="6:7" x14ac:dyDescent="0.3">
      <c r="F2421" s="90"/>
      <c r="G2421" s="90"/>
    </row>
    <row r="2422" spans="6:7" x14ac:dyDescent="0.3">
      <c r="F2422" s="90"/>
      <c r="G2422" s="90"/>
    </row>
    <row r="2423" spans="6:7" x14ac:dyDescent="0.3">
      <c r="F2423" s="90"/>
      <c r="G2423" s="90"/>
    </row>
    <row r="2424" spans="6:7" x14ac:dyDescent="0.3">
      <c r="F2424" s="90"/>
      <c r="G2424" s="90"/>
    </row>
    <row r="2425" spans="6:7" x14ac:dyDescent="0.3">
      <c r="F2425" s="90"/>
      <c r="G2425" s="90"/>
    </row>
    <row r="2426" spans="6:7" x14ac:dyDescent="0.3">
      <c r="F2426" s="90"/>
      <c r="G2426" s="90"/>
    </row>
    <row r="2427" spans="6:7" x14ac:dyDescent="0.3">
      <c r="F2427" s="90"/>
      <c r="G2427" s="90"/>
    </row>
    <row r="2428" spans="6:7" x14ac:dyDescent="0.3">
      <c r="F2428" s="90"/>
      <c r="G2428" s="90"/>
    </row>
    <row r="2429" spans="6:7" x14ac:dyDescent="0.3">
      <c r="F2429" s="90"/>
      <c r="G2429" s="90"/>
    </row>
    <row r="2430" spans="6:7" x14ac:dyDescent="0.3">
      <c r="F2430" s="90"/>
      <c r="G2430" s="90"/>
    </row>
    <row r="2431" spans="6:7" x14ac:dyDescent="0.3">
      <c r="F2431" s="90"/>
      <c r="G2431" s="90"/>
    </row>
    <row r="2432" spans="6:7" x14ac:dyDescent="0.3">
      <c r="F2432" s="90"/>
      <c r="G2432" s="90"/>
    </row>
    <row r="2433" spans="6:7" x14ac:dyDescent="0.3">
      <c r="F2433" s="90"/>
      <c r="G2433" s="90"/>
    </row>
    <row r="2434" spans="6:7" x14ac:dyDescent="0.3">
      <c r="F2434" s="90"/>
      <c r="G2434" s="90"/>
    </row>
    <row r="2435" spans="6:7" x14ac:dyDescent="0.3">
      <c r="F2435" s="90"/>
      <c r="G2435" s="90"/>
    </row>
    <row r="2436" spans="6:7" x14ac:dyDescent="0.3">
      <c r="F2436" s="90"/>
      <c r="G2436" s="90"/>
    </row>
    <row r="2437" spans="6:7" x14ac:dyDescent="0.3">
      <c r="F2437" s="90"/>
      <c r="G2437" s="90"/>
    </row>
    <row r="2438" spans="6:7" x14ac:dyDescent="0.3">
      <c r="F2438" s="90"/>
      <c r="G2438" s="90"/>
    </row>
    <row r="2439" spans="6:7" x14ac:dyDescent="0.3">
      <c r="F2439" s="90"/>
      <c r="G2439" s="90"/>
    </row>
    <row r="2440" spans="6:7" x14ac:dyDescent="0.3">
      <c r="F2440" s="90"/>
      <c r="G2440" s="90"/>
    </row>
    <row r="2441" spans="6:7" x14ac:dyDescent="0.3">
      <c r="F2441" s="90"/>
      <c r="G2441" s="90"/>
    </row>
    <row r="2442" spans="6:7" x14ac:dyDescent="0.3">
      <c r="F2442" s="90"/>
      <c r="G2442" s="90"/>
    </row>
    <row r="2443" spans="6:7" x14ac:dyDescent="0.3">
      <c r="F2443" s="90"/>
      <c r="G2443" s="90"/>
    </row>
    <row r="2444" spans="6:7" x14ac:dyDescent="0.3">
      <c r="F2444" s="90"/>
      <c r="G2444" s="90"/>
    </row>
    <row r="2445" spans="6:7" x14ac:dyDescent="0.3">
      <c r="F2445" s="90"/>
      <c r="G2445" s="90"/>
    </row>
    <row r="2446" spans="6:7" x14ac:dyDescent="0.3">
      <c r="F2446" s="90"/>
      <c r="G2446" s="90"/>
    </row>
    <row r="2447" spans="6:7" x14ac:dyDescent="0.3">
      <c r="F2447" s="90"/>
      <c r="G2447" s="90"/>
    </row>
    <row r="2448" spans="6:7" x14ac:dyDescent="0.3">
      <c r="F2448" s="90"/>
      <c r="G2448" s="90"/>
    </row>
    <row r="2449" spans="6:7" x14ac:dyDescent="0.3">
      <c r="F2449" s="90"/>
      <c r="G2449" s="90"/>
    </row>
    <row r="2450" spans="6:7" x14ac:dyDescent="0.3">
      <c r="F2450" s="90"/>
      <c r="G2450" s="90"/>
    </row>
    <row r="2451" spans="6:7" x14ac:dyDescent="0.3">
      <c r="F2451" s="90"/>
      <c r="G2451" s="90"/>
    </row>
    <row r="2452" spans="6:7" x14ac:dyDescent="0.3">
      <c r="F2452" s="90"/>
      <c r="G2452" s="90"/>
    </row>
    <row r="2453" spans="6:7" x14ac:dyDescent="0.3">
      <c r="F2453" s="90"/>
      <c r="G2453" s="90"/>
    </row>
    <row r="2454" spans="6:7" x14ac:dyDescent="0.3">
      <c r="F2454" s="90"/>
      <c r="G2454" s="90"/>
    </row>
    <row r="2455" spans="6:7" x14ac:dyDescent="0.3">
      <c r="F2455" s="90"/>
      <c r="G2455" s="90"/>
    </row>
    <row r="2456" spans="6:7" x14ac:dyDescent="0.3">
      <c r="F2456" s="90"/>
      <c r="G2456" s="90"/>
    </row>
    <row r="2457" spans="6:7" x14ac:dyDescent="0.3">
      <c r="F2457" s="90"/>
      <c r="G2457" s="90"/>
    </row>
    <row r="2458" spans="6:7" x14ac:dyDescent="0.3">
      <c r="F2458" s="90"/>
      <c r="G2458" s="90"/>
    </row>
    <row r="2459" spans="6:7" x14ac:dyDescent="0.3">
      <c r="F2459" s="90"/>
      <c r="G2459" s="90"/>
    </row>
    <row r="2460" spans="6:7" x14ac:dyDescent="0.3">
      <c r="F2460" s="90"/>
      <c r="G2460" s="90"/>
    </row>
    <row r="2461" spans="6:7" x14ac:dyDescent="0.3">
      <c r="F2461" s="90"/>
      <c r="G2461" s="90"/>
    </row>
    <row r="2462" spans="6:7" x14ac:dyDescent="0.3">
      <c r="F2462" s="90"/>
      <c r="G2462" s="90"/>
    </row>
    <row r="2463" spans="6:7" x14ac:dyDescent="0.3">
      <c r="F2463" s="90"/>
      <c r="G2463" s="90"/>
    </row>
    <row r="2464" spans="6:7" x14ac:dyDescent="0.3">
      <c r="F2464" s="90"/>
      <c r="G2464" s="90"/>
    </row>
    <row r="2465" spans="6:7" x14ac:dyDescent="0.3">
      <c r="F2465" s="90"/>
      <c r="G2465" s="90"/>
    </row>
    <row r="2466" spans="6:7" x14ac:dyDescent="0.3">
      <c r="F2466" s="90"/>
      <c r="G2466" s="90"/>
    </row>
    <row r="2467" spans="6:7" x14ac:dyDescent="0.3">
      <c r="F2467" s="90"/>
      <c r="G2467" s="90"/>
    </row>
    <row r="2468" spans="6:7" x14ac:dyDescent="0.3">
      <c r="F2468" s="90"/>
      <c r="G2468" s="90"/>
    </row>
    <row r="2469" spans="6:7" x14ac:dyDescent="0.3">
      <c r="F2469" s="90"/>
      <c r="G2469" s="90"/>
    </row>
    <row r="2470" spans="6:7" x14ac:dyDescent="0.3">
      <c r="F2470" s="90"/>
      <c r="G2470" s="90"/>
    </row>
    <row r="2471" spans="6:7" x14ac:dyDescent="0.3">
      <c r="F2471" s="90"/>
      <c r="G2471" s="90"/>
    </row>
    <row r="2472" spans="6:7" x14ac:dyDescent="0.3">
      <c r="F2472" s="90"/>
      <c r="G2472" s="90"/>
    </row>
    <row r="2473" spans="6:7" x14ac:dyDescent="0.3">
      <c r="F2473" s="90"/>
      <c r="G2473" s="90"/>
    </row>
    <row r="2474" spans="6:7" x14ac:dyDescent="0.3">
      <c r="F2474" s="90"/>
      <c r="G2474" s="90"/>
    </row>
    <row r="2475" spans="6:7" x14ac:dyDescent="0.3">
      <c r="F2475" s="90"/>
      <c r="G2475" s="90"/>
    </row>
    <row r="2476" spans="6:7" x14ac:dyDescent="0.3">
      <c r="F2476" s="90"/>
      <c r="G2476" s="90"/>
    </row>
    <row r="2477" spans="6:7" x14ac:dyDescent="0.3">
      <c r="F2477" s="90"/>
      <c r="G2477" s="90"/>
    </row>
    <row r="2478" spans="6:7" x14ac:dyDescent="0.3">
      <c r="F2478" s="90"/>
      <c r="G2478" s="90"/>
    </row>
    <row r="2479" spans="6:7" x14ac:dyDescent="0.3">
      <c r="F2479" s="90"/>
      <c r="G2479" s="90"/>
    </row>
    <row r="2480" spans="6:7" x14ac:dyDescent="0.3">
      <c r="F2480" s="90"/>
      <c r="G2480" s="90"/>
    </row>
    <row r="2481" spans="6:7" x14ac:dyDescent="0.3">
      <c r="F2481" s="90"/>
      <c r="G2481" s="90"/>
    </row>
    <row r="2482" spans="6:7" x14ac:dyDescent="0.3">
      <c r="F2482" s="90"/>
      <c r="G2482" s="90"/>
    </row>
    <row r="2483" spans="6:7" x14ac:dyDescent="0.3">
      <c r="F2483" s="90"/>
      <c r="G2483" s="90"/>
    </row>
    <row r="2484" spans="6:7" x14ac:dyDescent="0.3">
      <c r="F2484" s="90"/>
      <c r="G2484" s="90"/>
    </row>
    <row r="2485" spans="6:7" x14ac:dyDescent="0.3">
      <c r="F2485" s="90"/>
      <c r="G2485" s="90"/>
    </row>
    <row r="2486" spans="6:7" x14ac:dyDescent="0.3">
      <c r="F2486" s="90"/>
      <c r="G2486" s="90"/>
    </row>
    <row r="2487" spans="6:7" x14ac:dyDescent="0.3">
      <c r="F2487" s="90"/>
      <c r="G2487" s="90"/>
    </row>
    <row r="2488" spans="6:7" x14ac:dyDescent="0.3">
      <c r="F2488" s="90"/>
      <c r="G2488" s="90"/>
    </row>
    <row r="2489" spans="6:7" x14ac:dyDescent="0.3">
      <c r="F2489" s="90"/>
      <c r="G2489" s="90"/>
    </row>
    <row r="2490" spans="6:7" x14ac:dyDescent="0.3">
      <c r="F2490" s="90"/>
      <c r="G2490" s="90"/>
    </row>
    <row r="2491" spans="6:7" x14ac:dyDescent="0.3">
      <c r="F2491" s="90"/>
      <c r="G2491" s="90"/>
    </row>
    <row r="2492" spans="6:7" x14ac:dyDescent="0.3">
      <c r="F2492" s="90"/>
      <c r="G2492" s="90"/>
    </row>
    <row r="2493" spans="6:7" x14ac:dyDescent="0.3">
      <c r="F2493" s="90"/>
      <c r="G2493" s="90"/>
    </row>
    <row r="2494" spans="6:7" x14ac:dyDescent="0.3">
      <c r="F2494" s="90"/>
      <c r="G2494" s="90"/>
    </row>
    <row r="2495" spans="6:7" x14ac:dyDescent="0.3">
      <c r="F2495" s="90"/>
      <c r="G2495" s="90"/>
    </row>
    <row r="2496" spans="6:7" x14ac:dyDescent="0.3">
      <c r="F2496" s="90"/>
      <c r="G2496" s="90"/>
    </row>
    <row r="2497" spans="6:7" x14ac:dyDescent="0.3">
      <c r="F2497" s="90"/>
      <c r="G2497" s="90"/>
    </row>
    <row r="2498" spans="6:7" x14ac:dyDescent="0.3">
      <c r="F2498" s="90"/>
      <c r="G2498" s="90"/>
    </row>
    <row r="2499" spans="6:7" x14ac:dyDescent="0.3">
      <c r="F2499" s="90"/>
      <c r="G2499" s="90"/>
    </row>
    <row r="2500" spans="6:7" x14ac:dyDescent="0.3">
      <c r="F2500" s="90"/>
      <c r="G2500" s="90"/>
    </row>
    <row r="2501" spans="6:7" x14ac:dyDescent="0.3">
      <c r="F2501" s="90"/>
      <c r="G2501" s="90"/>
    </row>
    <row r="2502" spans="6:7" x14ac:dyDescent="0.3">
      <c r="F2502" s="90"/>
      <c r="G2502" s="90"/>
    </row>
    <row r="2503" spans="6:7" x14ac:dyDescent="0.3">
      <c r="F2503" s="90"/>
      <c r="G2503" s="90"/>
    </row>
    <row r="2504" spans="6:7" x14ac:dyDescent="0.3">
      <c r="F2504" s="90"/>
      <c r="G2504" s="90"/>
    </row>
    <row r="2505" spans="6:7" x14ac:dyDescent="0.3">
      <c r="F2505" s="90"/>
      <c r="G2505" s="90"/>
    </row>
    <row r="2506" spans="6:7" x14ac:dyDescent="0.3">
      <c r="F2506" s="90"/>
      <c r="G2506" s="90"/>
    </row>
    <row r="2507" spans="6:7" x14ac:dyDescent="0.3">
      <c r="F2507" s="90"/>
      <c r="G2507" s="90"/>
    </row>
    <row r="2508" spans="6:7" x14ac:dyDescent="0.3">
      <c r="F2508" s="90"/>
      <c r="G2508" s="90"/>
    </row>
    <row r="2509" spans="6:7" x14ac:dyDescent="0.3">
      <c r="F2509" s="90"/>
      <c r="G2509" s="90"/>
    </row>
    <row r="2510" spans="6:7" x14ac:dyDescent="0.3">
      <c r="F2510" s="90"/>
      <c r="G2510" s="90"/>
    </row>
    <row r="2511" spans="6:7" x14ac:dyDescent="0.3">
      <c r="F2511" s="90"/>
      <c r="G2511" s="90"/>
    </row>
    <row r="2512" spans="6:7" x14ac:dyDescent="0.3">
      <c r="F2512" s="90"/>
      <c r="G2512" s="90"/>
    </row>
    <row r="2513" spans="6:7" x14ac:dyDescent="0.3">
      <c r="F2513" s="90"/>
      <c r="G2513" s="90"/>
    </row>
    <row r="2514" spans="6:7" x14ac:dyDescent="0.3">
      <c r="F2514" s="90"/>
      <c r="G2514" s="90"/>
    </row>
    <row r="2515" spans="6:7" x14ac:dyDescent="0.3">
      <c r="F2515" s="90"/>
      <c r="G2515" s="90"/>
    </row>
    <row r="2516" spans="6:7" x14ac:dyDescent="0.3">
      <c r="F2516" s="90"/>
      <c r="G2516" s="90"/>
    </row>
    <row r="2517" spans="6:7" x14ac:dyDescent="0.3">
      <c r="F2517" s="90"/>
      <c r="G2517" s="90"/>
    </row>
    <row r="2518" spans="6:7" x14ac:dyDescent="0.3">
      <c r="F2518" s="90"/>
      <c r="G2518" s="90"/>
    </row>
    <row r="2519" spans="6:7" x14ac:dyDescent="0.3">
      <c r="F2519" s="90"/>
      <c r="G2519" s="90"/>
    </row>
    <row r="2520" spans="6:7" x14ac:dyDescent="0.3">
      <c r="F2520" s="90"/>
      <c r="G2520" s="90"/>
    </row>
    <row r="2521" spans="6:7" x14ac:dyDescent="0.3">
      <c r="F2521" s="90"/>
      <c r="G2521" s="90"/>
    </row>
    <row r="2522" spans="6:7" x14ac:dyDescent="0.3">
      <c r="F2522" s="90"/>
      <c r="G2522" s="90"/>
    </row>
    <row r="2523" spans="6:7" x14ac:dyDescent="0.3">
      <c r="F2523" s="90"/>
      <c r="G2523" s="90"/>
    </row>
    <row r="2524" spans="6:7" x14ac:dyDescent="0.3">
      <c r="F2524" s="90"/>
      <c r="G2524" s="90"/>
    </row>
    <row r="2525" spans="6:7" x14ac:dyDescent="0.3">
      <c r="F2525" s="90"/>
      <c r="G2525" s="90"/>
    </row>
    <row r="2526" spans="6:7" x14ac:dyDescent="0.3">
      <c r="F2526" s="90"/>
      <c r="G2526" s="90"/>
    </row>
    <row r="2527" spans="6:7" x14ac:dyDescent="0.3">
      <c r="F2527" s="90"/>
      <c r="G2527" s="90"/>
    </row>
    <row r="2528" spans="6:7" x14ac:dyDescent="0.3">
      <c r="F2528" s="90"/>
      <c r="G2528" s="90"/>
    </row>
    <row r="2529" spans="6:7" x14ac:dyDescent="0.3">
      <c r="F2529" s="90"/>
      <c r="G2529" s="90"/>
    </row>
    <row r="2530" spans="6:7" x14ac:dyDescent="0.3">
      <c r="F2530" s="90"/>
      <c r="G2530" s="90"/>
    </row>
    <row r="2531" spans="6:7" x14ac:dyDescent="0.3">
      <c r="F2531" s="90"/>
      <c r="G2531" s="90"/>
    </row>
    <row r="2532" spans="6:7" x14ac:dyDescent="0.3">
      <c r="F2532" s="90"/>
      <c r="G2532" s="90"/>
    </row>
    <row r="2533" spans="6:7" x14ac:dyDescent="0.3">
      <c r="F2533" s="90"/>
      <c r="G2533" s="90"/>
    </row>
    <row r="2534" spans="6:7" x14ac:dyDescent="0.3">
      <c r="F2534" s="90"/>
      <c r="G2534" s="90"/>
    </row>
    <row r="2535" spans="6:7" x14ac:dyDescent="0.3">
      <c r="F2535" s="90"/>
      <c r="G2535" s="90"/>
    </row>
    <row r="2536" spans="6:7" x14ac:dyDescent="0.3">
      <c r="F2536" s="90"/>
      <c r="G2536" s="90"/>
    </row>
    <row r="2537" spans="6:7" x14ac:dyDescent="0.3">
      <c r="F2537" s="90"/>
      <c r="G2537" s="90"/>
    </row>
    <row r="2538" spans="6:7" x14ac:dyDescent="0.3">
      <c r="F2538" s="90"/>
      <c r="G2538" s="90"/>
    </row>
    <row r="2539" spans="6:7" x14ac:dyDescent="0.3">
      <c r="F2539" s="90"/>
      <c r="G2539" s="90"/>
    </row>
    <row r="2540" spans="6:7" x14ac:dyDescent="0.3">
      <c r="F2540" s="90"/>
      <c r="G2540" s="90"/>
    </row>
    <row r="2541" spans="6:7" x14ac:dyDescent="0.3">
      <c r="F2541" s="90"/>
      <c r="G2541" s="90"/>
    </row>
    <row r="2542" spans="6:7" x14ac:dyDescent="0.3">
      <c r="F2542" s="90"/>
      <c r="G2542" s="90"/>
    </row>
    <row r="2543" spans="6:7" x14ac:dyDescent="0.3">
      <c r="F2543" s="90"/>
      <c r="G2543" s="90"/>
    </row>
    <row r="2544" spans="6:7" x14ac:dyDescent="0.3">
      <c r="F2544" s="90"/>
      <c r="G2544" s="90"/>
    </row>
    <row r="2545" spans="6:7" x14ac:dyDescent="0.3">
      <c r="F2545" s="90"/>
      <c r="G2545" s="90"/>
    </row>
    <row r="2546" spans="6:7" x14ac:dyDescent="0.3">
      <c r="F2546" s="90"/>
      <c r="G2546" s="90"/>
    </row>
    <row r="2547" spans="6:7" x14ac:dyDescent="0.3">
      <c r="F2547" s="90"/>
      <c r="G2547" s="90"/>
    </row>
    <row r="2548" spans="6:7" x14ac:dyDescent="0.3">
      <c r="F2548" s="90"/>
      <c r="G2548" s="90"/>
    </row>
    <row r="2549" spans="6:7" x14ac:dyDescent="0.3">
      <c r="F2549" s="90"/>
      <c r="G2549" s="90"/>
    </row>
    <row r="2550" spans="6:7" x14ac:dyDescent="0.3">
      <c r="F2550" s="90"/>
      <c r="G2550" s="90"/>
    </row>
    <row r="2551" spans="6:7" x14ac:dyDescent="0.3">
      <c r="F2551" s="90"/>
      <c r="G2551" s="90"/>
    </row>
    <row r="2552" spans="6:7" x14ac:dyDescent="0.3">
      <c r="F2552" s="90"/>
      <c r="G2552" s="90"/>
    </row>
    <row r="2553" spans="6:7" x14ac:dyDescent="0.3">
      <c r="F2553" s="90"/>
      <c r="G2553" s="90"/>
    </row>
    <row r="2554" spans="6:7" x14ac:dyDescent="0.3">
      <c r="F2554" s="90"/>
      <c r="G2554" s="90"/>
    </row>
    <row r="2555" spans="6:7" x14ac:dyDescent="0.3">
      <c r="F2555" s="90"/>
      <c r="G2555" s="90"/>
    </row>
    <row r="2556" spans="6:7" x14ac:dyDescent="0.3">
      <c r="F2556" s="90"/>
      <c r="G2556" s="90"/>
    </row>
    <row r="2557" spans="6:7" x14ac:dyDescent="0.3">
      <c r="F2557" s="90"/>
      <c r="G2557" s="90"/>
    </row>
    <row r="2558" spans="6:7" x14ac:dyDescent="0.3">
      <c r="F2558" s="90"/>
      <c r="G2558" s="90"/>
    </row>
    <row r="2559" spans="6:7" x14ac:dyDescent="0.3">
      <c r="F2559" s="90"/>
      <c r="G2559" s="90"/>
    </row>
    <row r="2560" spans="6:7" x14ac:dyDescent="0.3">
      <c r="F2560" s="90"/>
      <c r="G2560" s="90"/>
    </row>
    <row r="2561" spans="6:7" x14ac:dyDescent="0.3">
      <c r="F2561" s="90"/>
      <c r="G2561" s="90"/>
    </row>
    <row r="2562" spans="6:7" x14ac:dyDescent="0.3">
      <c r="F2562" s="90"/>
      <c r="G2562" s="90"/>
    </row>
    <row r="2563" spans="6:7" x14ac:dyDescent="0.3">
      <c r="F2563" s="90"/>
      <c r="G2563" s="90"/>
    </row>
    <row r="2564" spans="6:7" x14ac:dyDescent="0.3">
      <c r="F2564" s="90"/>
      <c r="G2564" s="90"/>
    </row>
    <row r="2565" spans="6:7" x14ac:dyDescent="0.3">
      <c r="F2565" s="90"/>
      <c r="G2565" s="90"/>
    </row>
    <row r="2566" spans="6:7" x14ac:dyDescent="0.3">
      <c r="F2566" s="90"/>
      <c r="G2566" s="90"/>
    </row>
    <row r="2567" spans="6:7" x14ac:dyDescent="0.3">
      <c r="F2567" s="90"/>
      <c r="G2567" s="90"/>
    </row>
    <row r="2568" spans="6:7" x14ac:dyDescent="0.3">
      <c r="F2568" s="90"/>
      <c r="G2568" s="90"/>
    </row>
    <row r="2569" spans="6:7" x14ac:dyDescent="0.3">
      <c r="F2569" s="90"/>
      <c r="G2569" s="90"/>
    </row>
    <row r="2570" spans="6:7" x14ac:dyDescent="0.3">
      <c r="F2570" s="90"/>
      <c r="G2570" s="90"/>
    </row>
    <row r="2571" spans="6:7" x14ac:dyDescent="0.3">
      <c r="F2571" s="90"/>
      <c r="G2571" s="90"/>
    </row>
    <row r="2572" spans="6:7" x14ac:dyDescent="0.3">
      <c r="F2572" s="90"/>
      <c r="G2572" s="90"/>
    </row>
    <row r="2573" spans="6:7" x14ac:dyDescent="0.3">
      <c r="F2573" s="90"/>
      <c r="G2573" s="90"/>
    </row>
    <row r="2574" spans="6:7" x14ac:dyDescent="0.3">
      <c r="F2574" s="90"/>
      <c r="G2574" s="90"/>
    </row>
    <row r="2575" spans="6:7" x14ac:dyDescent="0.3">
      <c r="F2575" s="90"/>
      <c r="G2575" s="90"/>
    </row>
    <row r="2576" spans="6:7" x14ac:dyDescent="0.3">
      <c r="F2576" s="90"/>
      <c r="G2576" s="90"/>
    </row>
    <row r="2577" spans="6:7" x14ac:dyDescent="0.3">
      <c r="F2577" s="90"/>
      <c r="G2577" s="90"/>
    </row>
    <row r="2578" spans="6:7" x14ac:dyDescent="0.3">
      <c r="F2578" s="90"/>
      <c r="G2578" s="90"/>
    </row>
    <row r="2579" spans="6:7" x14ac:dyDescent="0.3">
      <c r="F2579" s="90"/>
      <c r="G2579" s="90"/>
    </row>
    <row r="2580" spans="6:7" x14ac:dyDescent="0.3">
      <c r="F2580" s="90"/>
      <c r="G2580" s="90"/>
    </row>
    <row r="2581" spans="6:7" x14ac:dyDescent="0.3">
      <c r="F2581" s="90"/>
      <c r="G2581" s="90"/>
    </row>
    <row r="2582" spans="6:7" x14ac:dyDescent="0.3">
      <c r="F2582" s="90"/>
      <c r="G2582" s="90"/>
    </row>
    <row r="2583" spans="6:7" x14ac:dyDescent="0.3">
      <c r="F2583" s="90"/>
      <c r="G2583" s="90"/>
    </row>
    <row r="2584" spans="6:7" x14ac:dyDescent="0.3">
      <c r="F2584" s="90"/>
      <c r="G2584" s="90"/>
    </row>
    <row r="2585" spans="6:7" x14ac:dyDescent="0.3">
      <c r="F2585" s="90"/>
      <c r="G2585" s="90"/>
    </row>
    <row r="2586" spans="6:7" x14ac:dyDescent="0.3">
      <c r="F2586" s="90"/>
      <c r="G2586" s="90"/>
    </row>
    <row r="2587" spans="6:7" x14ac:dyDescent="0.3">
      <c r="F2587" s="90"/>
      <c r="G2587" s="90"/>
    </row>
    <row r="2588" spans="6:7" x14ac:dyDescent="0.3">
      <c r="F2588" s="90"/>
      <c r="G2588" s="90"/>
    </row>
    <row r="2589" spans="6:7" x14ac:dyDescent="0.3">
      <c r="F2589" s="90"/>
      <c r="G2589" s="90"/>
    </row>
    <row r="2590" spans="6:7" x14ac:dyDescent="0.3">
      <c r="F2590" s="90"/>
      <c r="G2590" s="90"/>
    </row>
    <row r="2591" spans="6:7" x14ac:dyDescent="0.3">
      <c r="F2591" s="90"/>
      <c r="G2591" s="90"/>
    </row>
    <row r="2592" spans="6:7" x14ac:dyDescent="0.3">
      <c r="F2592" s="90"/>
      <c r="G2592" s="90"/>
    </row>
    <row r="2593" spans="6:7" x14ac:dyDescent="0.3">
      <c r="F2593" s="90"/>
      <c r="G2593" s="90"/>
    </row>
    <row r="2594" spans="6:7" x14ac:dyDescent="0.3">
      <c r="F2594" s="90"/>
      <c r="G2594" s="90"/>
    </row>
    <row r="2595" spans="6:7" x14ac:dyDescent="0.3">
      <c r="F2595" s="90"/>
      <c r="G2595" s="90"/>
    </row>
    <row r="2596" spans="6:7" x14ac:dyDescent="0.3">
      <c r="F2596" s="90"/>
      <c r="G2596" s="90"/>
    </row>
    <row r="2597" spans="6:7" x14ac:dyDescent="0.3">
      <c r="F2597" s="90"/>
      <c r="G2597" s="90"/>
    </row>
    <row r="2598" spans="6:7" x14ac:dyDescent="0.3">
      <c r="F2598" s="90"/>
      <c r="G2598" s="90"/>
    </row>
    <row r="2599" spans="6:7" x14ac:dyDescent="0.3">
      <c r="F2599" s="90"/>
      <c r="G2599" s="90"/>
    </row>
    <row r="2600" spans="6:7" x14ac:dyDescent="0.3">
      <c r="F2600" s="90"/>
      <c r="G2600" s="90"/>
    </row>
    <row r="2601" spans="6:7" x14ac:dyDescent="0.3">
      <c r="F2601" s="90"/>
      <c r="G2601" s="90"/>
    </row>
    <row r="2602" spans="6:7" x14ac:dyDescent="0.3">
      <c r="F2602" s="90"/>
      <c r="G2602" s="90"/>
    </row>
    <row r="2603" spans="6:7" x14ac:dyDescent="0.3">
      <c r="F2603" s="90"/>
      <c r="G2603" s="90"/>
    </row>
    <row r="2604" spans="6:7" x14ac:dyDescent="0.3">
      <c r="F2604" s="90"/>
      <c r="G2604" s="90"/>
    </row>
    <row r="2605" spans="6:7" x14ac:dyDescent="0.3">
      <c r="F2605" s="90"/>
      <c r="G2605" s="90"/>
    </row>
    <row r="2606" spans="6:7" x14ac:dyDescent="0.3">
      <c r="F2606" s="90"/>
      <c r="G2606" s="90"/>
    </row>
    <row r="2607" spans="6:7" x14ac:dyDescent="0.3">
      <c r="F2607" s="90"/>
      <c r="G2607" s="90"/>
    </row>
    <row r="2608" spans="6:7" x14ac:dyDescent="0.3">
      <c r="F2608" s="90"/>
      <c r="G2608" s="90"/>
    </row>
    <row r="2609" spans="6:7" x14ac:dyDescent="0.3">
      <c r="F2609" s="90"/>
      <c r="G2609" s="90"/>
    </row>
    <row r="2610" spans="6:7" x14ac:dyDescent="0.3">
      <c r="F2610" s="90"/>
      <c r="G2610" s="90"/>
    </row>
    <row r="2611" spans="6:7" x14ac:dyDescent="0.3">
      <c r="F2611" s="90"/>
      <c r="G2611" s="90"/>
    </row>
    <row r="2612" spans="6:7" x14ac:dyDescent="0.3">
      <c r="F2612" s="90"/>
      <c r="G2612" s="90"/>
    </row>
    <row r="2613" spans="6:7" x14ac:dyDescent="0.3">
      <c r="F2613" s="90"/>
      <c r="G2613" s="90"/>
    </row>
    <row r="2614" spans="6:7" x14ac:dyDescent="0.3">
      <c r="F2614" s="90"/>
      <c r="G2614" s="90"/>
    </row>
    <row r="2615" spans="6:7" x14ac:dyDescent="0.3">
      <c r="F2615" s="90"/>
      <c r="G2615" s="90"/>
    </row>
    <row r="2616" spans="6:7" x14ac:dyDescent="0.3">
      <c r="F2616" s="90"/>
      <c r="G2616" s="90"/>
    </row>
    <row r="2617" spans="6:7" x14ac:dyDescent="0.3">
      <c r="F2617" s="90"/>
      <c r="G2617" s="90"/>
    </row>
    <row r="2618" spans="6:7" x14ac:dyDescent="0.3">
      <c r="F2618" s="90"/>
      <c r="G2618" s="90"/>
    </row>
    <row r="2619" spans="6:7" x14ac:dyDescent="0.3">
      <c r="F2619" s="90"/>
      <c r="G2619" s="90"/>
    </row>
    <row r="2620" spans="6:7" x14ac:dyDescent="0.3">
      <c r="F2620" s="90"/>
      <c r="G2620" s="90"/>
    </row>
    <row r="2621" spans="6:7" x14ac:dyDescent="0.3">
      <c r="F2621" s="90"/>
      <c r="G2621" s="90"/>
    </row>
    <row r="2622" spans="6:7" x14ac:dyDescent="0.3">
      <c r="F2622" s="90"/>
      <c r="G2622" s="90"/>
    </row>
    <row r="2623" spans="6:7" x14ac:dyDescent="0.3">
      <c r="F2623" s="90"/>
      <c r="G2623" s="90"/>
    </row>
    <row r="2624" spans="6:7" x14ac:dyDescent="0.3">
      <c r="F2624" s="90"/>
      <c r="G2624" s="90"/>
    </row>
    <row r="2625" spans="6:7" x14ac:dyDescent="0.3">
      <c r="F2625" s="90"/>
      <c r="G2625" s="90"/>
    </row>
    <row r="2626" spans="6:7" x14ac:dyDescent="0.3">
      <c r="F2626" s="90"/>
      <c r="G2626" s="90"/>
    </row>
    <row r="2627" spans="6:7" x14ac:dyDescent="0.3">
      <c r="F2627" s="90"/>
      <c r="G2627" s="90"/>
    </row>
    <row r="2628" spans="6:7" x14ac:dyDescent="0.3">
      <c r="F2628" s="90"/>
      <c r="G2628" s="90"/>
    </row>
    <row r="2629" spans="6:7" x14ac:dyDescent="0.3">
      <c r="F2629" s="90"/>
      <c r="G2629" s="90"/>
    </row>
    <row r="2630" spans="6:7" x14ac:dyDescent="0.3">
      <c r="F2630" s="90"/>
      <c r="G2630" s="90"/>
    </row>
    <row r="2631" spans="6:7" x14ac:dyDescent="0.3">
      <c r="F2631" s="90"/>
      <c r="G2631" s="90"/>
    </row>
    <row r="2632" spans="6:7" x14ac:dyDescent="0.3">
      <c r="F2632" s="90"/>
      <c r="G2632" s="90"/>
    </row>
    <row r="2633" spans="6:7" x14ac:dyDescent="0.3">
      <c r="F2633" s="90"/>
      <c r="G2633" s="90"/>
    </row>
    <row r="2634" spans="6:7" x14ac:dyDescent="0.3">
      <c r="F2634" s="90"/>
      <c r="G2634" s="90"/>
    </row>
    <row r="2635" spans="6:7" x14ac:dyDescent="0.3">
      <c r="F2635" s="90"/>
      <c r="G2635" s="90"/>
    </row>
    <row r="2636" spans="6:7" x14ac:dyDescent="0.3">
      <c r="F2636" s="90"/>
      <c r="G2636" s="90"/>
    </row>
    <row r="2637" spans="6:7" x14ac:dyDescent="0.3">
      <c r="F2637" s="90"/>
      <c r="G2637" s="90"/>
    </row>
    <row r="2638" spans="6:7" x14ac:dyDescent="0.3">
      <c r="F2638" s="90"/>
      <c r="G2638" s="90"/>
    </row>
    <row r="2639" spans="6:7" x14ac:dyDescent="0.3">
      <c r="F2639" s="90"/>
      <c r="G2639" s="90"/>
    </row>
    <row r="2640" spans="6:7" x14ac:dyDescent="0.3">
      <c r="F2640" s="90"/>
      <c r="G2640" s="90"/>
    </row>
    <row r="2641" spans="6:7" x14ac:dyDescent="0.3">
      <c r="F2641" s="90"/>
      <c r="G2641" s="90"/>
    </row>
    <row r="2642" spans="6:7" x14ac:dyDescent="0.3">
      <c r="F2642" s="90"/>
      <c r="G2642" s="90"/>
    </row>
    <row r="2643" spans="6:7" x14ac:dyDescent="0.3">
      <c r="F2643" s="90"/>
      <c r="G2643" s="90"/>
    </row>
    <row r="2644" spans="6:7" x14ac:dyDescent="0.3">
      <c r="F2644" s="90"/>
      <c r="G2644" s="90"/>
    </row>
    <row r="2645" spans="6:7" x14ac:dyDescent="0.3">
      <c r="F2645" s="90"/>
      <c r="G2645" s="90"/>
    </row>
    <row r="2646" spans="6:7" x14ac:dyDescent="0.3">
      <c r="F2646" s="90"/>
      <c r="G2646" s="90"/>
    </row>
    <row r="2647" spans="6:7" x14ac:dyDescent="0.3">
      <c r="F2647" s="90"/>
      <c r="G2647" s="90"/>
    </row>
    <row r="2648" spans="6:7" x14ac:dyDescent="0.3">
      <c r="F2648" s="90"/>
      <c r="G2648" s="90"/>
    </row>
    <row r="2649" spans="6:7" x14ac:dyDescent="0.3">
      <c r="F2649" s="90"/>
      <c r="G2649" s="90"/>
    </row>
    <row r="2650" spans="6:7" x14ac:dyDescent="0.3">
      <c r="F2650" s="90"/>
      <c r="G2650" s="90"/>
    </row>
    <row r="2651" spans="6:7" x14ac:dyDescent="0.3">
      <c r="F2651" s="90"/>
      <c r="G2651" s="90"/>
    </row>
    <row r="2652" spans="6:7" x14ac:dyDescent="0.3">
      <c r="F2652" s="90"/>
      <c r="G2652" s="90"/>
    </row>
    <row r="2653" spans="6:7" x14ac:dyDescent="0.3">
      <c r="F2653" s="90"/>
      <c r="G2653" s="90"/>
    </row>
    <row r="2654" spans="6:7" x14ac:dyDescent="0.3">
      <c r="F2654" s="90"/>
      <c r="G2654" s="90"/>
    </row>
    <row r="2655" spans="6:7" x14ac:dyDescent="0.3">
      <c r="F2655" s="90"/>
      <c r="G2655" s="90"/>
    </row>
    <row r="2656" spans="6:7" x14ac:dyDescent="0.3">
      <c r="F2656" s="90"/>
      <c r="G2656" s="90"/>
    </row>
    <row r="2657" spans="6:7" x14ac:dyDescent="0.3">
      <c r="F2657" s="90"/>
      <c r="G2657" s="90"/>
    </row>
    <row r="2658" spans="6:7" x14ac:dyDescent="0.3">
      <c r="F2658" s="90"/>
      <c r="G2658" s="90"/>
    </row>
    <row r="2659" spans="6:7" x14ac:dyDescent="0.3">
      <c r="F2659" s="90"/>
      <c r="G2659" s="90"/>
    </row>
    <row r="2660" spans="6:7" x14ac:dyDescent="0.3">
      <c r="F2660" s="90"/>
      <c r="G2660" s="90"/>
    </row>
    <row r="2661" spans="6:7" x14ac:dyDescent="0.3">
      <c r="F2661" s="90"/>
      <c r="G2661" s="90"/>
    </row>
    <row r="2662" spans="6:7" x14ac:dyDescent="0.3">
      <c r="F2662" s="90"/>
      <c r="G2662" s="90"/>
    </row>
    <row r="2663" spans="6:7" x14ac:dyDescent="0.3">
      <c r="F2663" s="90"/>
      <c r="G2663" s="90"/>
    </row>
    <row r="2664" spans="6:7" x14ac:dyDescent="0.3">
      <c r="F2664" s="90"/>
      <c r="G2664" s="90"/>
    </row>
    <row r="2665" spans="6:7" x14ac:dyDescent="0.3">
      <c r="F2665" s="90"/>
      <c r="G2665" s="90"/>
    </row>
    <row r="2666" spans="6:7" x14ac:dyDescent="0.3">
      <c r="F2666" s="90"/>
      <c r="G2666" s="90"/>
    </row>
    <row r="2667" spans="6:7" x14ac:dyDescent="0.3">
      <c r="F2667" s="90"/>
      <c r="G2667" s="90"/>
    </row>
    <row r="2668" spans="6:7" x14ac:dyDescent="0.3">
      <c r="F2668" s="90"/>
      <c r="G2668" s="90"/>
    </row>
    <row r="2669" spans="6:7" x14ac:dyDescent="0.3">
      <c r="F2669" s="90"/>
      <c r="G2669" s="90"/>
    </row>
    <row r="2670" spans="6:7" x14ac:dyDescent="0.3">
      <c r="F2670" s="90"/>
      <c r="G2670" s="90"/>
    </row>
    <row r="2671" spans="6:7" x14ac:dyDescent="0.3">
      <c r="F2671" s="90"/>
      <c r="G2671" s="90"/>
    </row>
    <row r="2672" spans="6:7" x14ac:dyDescent="0.3">
      <c r="F2672" s="90"/>
      <c r="G2672" s="90"/>
    </row>
    <row r="2673" spans="6:7" x14ac:dyDescent="0.3">
      <c r="F2673" s="90"/>
      <c r="G2673" s="90"/>
    </row>
    <row r="2674" spans="6:7" x14ac:dyDescent="0.3">
      <c r="F2674" s="90"/>
      <c r="G2674" s="90"/>
    </row>
    <row r="2675" spans="6:7" x14ac:dyDescent="0.3">
      <c r="F2675" s="90"/>
      <c r="G2675" s="90"/>
    </row>
    <row r="2676" spans="6:7" x14ac:dyDescent="0.3">
      <c r="F2676" s="90"/>
      <c r="G2676" s="90"/>
    </row>
    <row r="2677" spans="6:7" x14ac:dyDescent="0.3">
      <c r="F2677" s="90"/>
      <c r="G2677" s="90"/>
    </row>
    <row r="2678" spans="6:7" x14ac:dyDescent="0.3">
      <c r="F2678" s="90"/>
      <c r="G2678" s="90"/>
    </row>
    <row r="2679" spans="6:7" x14ac:dyDescent="0.3">
      <c r="F2679" s="90"/>
      <c r="G2679" s="90"/>
    </row>
    <row r="2680" spans="6:7" x14ac:dyDescent="0.3">
      <c r="F2680" s="90"/>
      <c r="G2680" s="90"/>
    </row>
    <row r="2681" spans="6:7" x14ac:dyDescent="0.3">
      <c r="F2681" s="90"/>
      <c r="G2681" s="90"/>
    </row>
    <row r="2682" spans="6:7" x14ac:dyDescent="0.3">
      <c r="F2682" s="90"/>
      <c r="G2682" s="90"/>
    </row>
    <row r="2683" spans="6:7" x14ac:dyDescent="0.3">
      <c r="F2683" s="90"/>
      <c r="G2683" s="90"/>
    </row>
    <row r="2684" spans="6:7" x14ac:dyDescent="0.3">
      <c r="F2684" s="90"/>
      <c r="G2684" s="90"/>
    </row>
    <row r="2685" spans="6:7" x14ac:dyDescent="0.3">
      <c r="F2685" s="90"/>
      <c r="G2685" s="90"/>
    </row>
    <row r="2686" spans="6:7" x14ac:dyDescent="0.3">
      <c r="F2686" s="90"/>
      <c r="G2686" s="90"/>
    </row>
    <row r="2687" spans="6:7" x14ac:dyDescent="0.3">
      <c r="F2687" s="90"/>
      <c r="G2687" s="90"/>
    </row>
    <row r="2688" spans="6:7" x14ac:dyDescent="0.3">
      <c r="F2688" s="90"/>
      <c r="G2688" s="90"/>
    </row>
    <row r="2689" spans="6:7" x14ac:dyDescent="0.3">
      <c r="F2689" s="90"/>
      <c r="G2689" s="90"/>
    </row>
    <row r="2690" spans="6:7" x14ac:dyDescent="0.3">
      <c r="F2690" s="90"/>
      <c r="G2690" s="90"/>
    </row>
    <row r="2691" spans="6:7" x14ac:dyDescent="0.3">
      <c r="F2691" s="90"/>
      <c r="G2691" s="90"/>
    </row>
    <row r="2692" spans="6:7" x14ac:dyDescent="0.3">
      <c r="F2692" s="90"/>
      <c r="G2692" s="90"/>
    </row>
    <row r="2693" spans="6:7" x14ac:dyDescent="0.3">
      <c r="F2693" s="90"/>
      <c r="G2693" s="90"/>
    </row>
    <row r="2694" spans="6:7" x14ac:dyDescent="0.3">
      <c r="F2694" s="90"/>
      <c r="G2694" s="90"/>
    </row>
    <row r="2695" spans="6:7" x14ac:dyDescent="0.3">
      <c r="F2695" s="90"/>
      <c r="G2695" s="90"/>
    </row>
    <row r="2696" spans="6:7" x14ac:dyDescent="0.3">
      <c r="F2696" s="90"/>
      <c r="G2696" s="90"/>
    </row>
    <row r="2697" spans="6:7" x14ac:dyDescent="0.3">
      <c r="F2697" s="90"/>
      <c r="G2697" s="90"/>
    </row>
    <row r="2698" spans="6:7" x14ac:dyDescent="0.3">
      <c r="F2698" s="90"/>
      <c r="G2698" s="90"/>
    </row>
    <row r="2699" spans="6:7" x14ac:dyDescent="0.3">
      <c r="F2699" s="90"/>
      <c r="G2699" s="90"/>
    </row>
    <row r="2700" spans="6:7" x14ac:dyDescent="0.3">
      <c r="F2700" s="90"/>
      <c r="G2700" s="90"/>
    </row>
    <row r="2701" spans="6:7" x14ac:dyDescent="0.3">
      <c r="F2701" s="90"/>
      <c r="G2701" s="90"/>
    </row>
    <row r="2702" spans="6:7" x14ac:dyDescent="0.3">
      <c r="F2702" s="90"/>
      <c r="G2702" s="90"/>
    </row>
    <row r="2703" spans="6:7" x14ac:dyDescent="0.3">
      <c r="F2703" s="90"/>
      <c r="G2703" s="90"/>
    </row>
    <row r="2704" spans="6:7" x14ac:dyDescent="0.3">
      <c r="F2704" s="90"/>
      <c r="G2704" s="90"/>
    </row>
    <row r="2705" spans="6:7" x14ac:dyDescent="0.3">
      <c r="F2705" s="90"/>
      <c r="G2705" s="90"/>
    </row>
    <row r="2706" spans="6:7" x14ac:dyDescent="0.3">
      <c r="F2706" s="90"/>
      <c r="G2706" s="90"/>
    </row>
    <row r="2707" spans="6:7" x14ac:dyDescent="0.3">
      <c r="F2707" s="90"/>
      <c r="G2707" s="90"/>
    </row>
    <row r="2708" spans="6:7" x14ac:dyDescent="0.3">
      <c r="F2708" s="90"/>
      <c r="G2708" s="90"/>
    </row>
    <row r="2709" spans="6:7" x14ac:dyDescent="0.3">
      <c r="F2709" s="90"/>
      <c r="G2709" s="90"/>
    </row>
    <row r="2710" spans="6:7" x14ac:dyDescent="0.3">
      <c r="F2710" s="90"/>
      <c r="G2710" s="90"/>
    </row>
    <row r="2711" spans="6:7" x14ac:dyDescent="0.3">
      <c r="F2711" s="90"/>
      <c r="G2711" s="90"/>
    </row>
    <row r="2712" spans="6:7" x14ac:dyDescent="0.3">
      <c r="F2712" s="90"/>
      <c r="G2712" s="90"/>
    </row>
    <row r="2713" spans="6:7" x14ac:dyDescent="0.3">
      <c r="F2713" s="90"/>
      <c r="G2713" s="90"/>
    </row>
    <row r="2714" spans="6:7" x14ac:dyDescent="0.3">
      <c r="F2714" s="90"/>
      <c r="G2714" s="90"/>
    </row>
    <row r="2715" spans="6:7" x14ac:dyDescent="0.3">
      <c r="F2715" s="90"/>
      <c r="G2715" s="90"/>
    </row>
    <row r="2716" spans="6:7" x14ac:dyDescent="0.3">
      <c r="F2716" s="90"/>
      <c r="G2716" s="90"/>
    </row>
    <row r="2717" spans="6:7" x14ac:dyDescent="0.3">
      <c r="F2717" s="90"/>
      <c r="G2717" s="90"/>
    </row>
    <row r="2718" spans="6:7" x14ac:dyDescent="0.3">
      <c r="F2718" s="90"/>
      <c r="G2718" s="90"/>
    </row>
    <row r="2719" spans="6:7" x14ac:dyDescent="0.3">
      <c r="F2719" s="90"/>
      <c r="G2719" s="90"/>
    </row>
    <row r="2720" spans="6:7" x14ac:dyDescent="0.3">
      <c r="F2720" s="90"/>
      <c r="G2720" s="90"/>
    </row>
    <row r="2721" spans="6:7" x14ac:dyDescent="0.3">
      <c r="F2721" s="90"/>
      <c r="G2721" s="90"/>
    </row>
    <row r="2722" spans="6:7" x14ac:dyDescent="0.3">
      <c r="F2722" s="90"/>
      <c r="G2722" s="90"/>
    </row>
    <row r="2723" spans="6:7" x14ac:dyDescent="0.3">
      <c r="F2723" s="90"/>
      <c r="G2723" s="90"/>
    </row>
    <row r="2724" spans="6:7" x14ac:dyDescent="0.3">
      <c r="F2724" s="90"/>
      <c r="G2724" s="90"/>
    </row>
    <row r="2725" spans="6:7" x14ac:dyDescent="0.3">
      <c r="F2725" s="90"/>
      <c r="G2725" s="90"/>
    </row>
    <row r="2726" spans="6:7" x14ac:dyDescent="0.3">
      <c r="F2726" s="90"/>
      <c r="G2726" s="90"/>
    </row>
    <row r="2727" spans="6:7" x14ac:dyDescent="0.3">
      <c r="F2727" s="90"/>
      <c r="G2727" s="90"/>
    </row>
    <row r="2728" spans="6:7" x14ac:dyDescent="0.3">
      <c r="F2728" s="90"/>
      <c r="G2728" s="90"/>
    </row>
    <row r="2729" spans="6:7" x14ac:dyDescent="0.3">
      <c r="F2729" s="90"/>
      <c r="G2729" s="90"/>
    </row>
    <row r="2730" spans="6:7" x14ac:dyDescent="0.3">
      <c r="F2730" s="90"/>
      <c r="G2730" s="90"/>
    </row>
    <row r="2731" spans="6:7" x14ac:dyDescent="0.3">
      <c r="F2731" s="90"/>
      <c r="G2731" s="90"/>
    </row>
    <row r="2732" spans="6:7" x14ac:dyDescent="0.3">
      <c r="F2732" s="90"/>
      <c r="G2732" s="90"/>
    </row>
    <row r="2733" spans="6:7" x14ac:dyDescent="0.3">
      <c r="F2733" s="90"/>
      <c r="G2733" s="90"/>
    </row>
    <row r="2734" spans="6:7" x14ac:dyDescent="0.3">
      <c r="F2734" s="90"/>
      <c r="G2734" s="90"/>
    </row>
    <row r="2735" spans="6:7" x14ac:dyDescent="0.3">
      <c r="F2735" s="90"/>
      <c r="G2735" s="90"/>
    </row>
    <row r="2736" spans="6:7" x14ac:dyDescent="0.3">
      <c r="F2736" s="90"/>
      <c r="G2736" s="90"/>
    </row>
    <row r="2737" spans="6:7" x14ac:dyDescent="0.3">
      <c r="F2737" s="90"/>
      <c r="G2737" s="90"/>
    </row>
    <row r="2738" spans="6:7" x14ac:dyDescent="0.3">
      <c r="F2738" s="90"/>
      <c r="G2738" s="90"/>
    </row>
    <row r="2739" spans="6:7" x14ac:dyDescent="0.3">
      <c r="F2739" s="90"/>
      <c r="G2739" s="90"/>
    </row>
    <row r="2740" spans="6:7" x14ac:dyDescent="0.3">
      <c r="F2740" s="90"/>
      <c r="G2740" s="90"/>
    </row>
    <row r="2741" spans="6:7" x14ac:dyDescent="0.3">
      <c r="F2741" s="90"/>
      <c r="G2741" s="90"/>
    </row>
    <row r="2742" spans="6:7" x14ac:dyDescent="0.3">
      <c r="F2742" s="90"/>
      <c r="G2742" s="90"/>
    </row>
    <row r="2743" spans="6:7" x14ac:dyDescent="0.3">
      <c r="F2743" s="90"/>
      <c r="G2743" s="90"/>
    </row>
    <row r="2744" spans="6:7" x14ac:dyDescent="0.3">
      <c r="F2744" s="90"/>
      <c r="G2744" s="90"/>
    </row>
    <row r="2745" spans="6:7" x14ac:dyDescent="0.3">
      <c r="F2745" s="90"/>
      <c r="G2745" s="90"/>
    </row>
    <row r="2746" spans="6:7" x14ac:dyDescent="0.3">
      <c r="F2746" s="90"/>
      <c r="G2746" s="90"/>
    </row>
    <row r="2747" spans="6:7" x14ac:dyDescent="0.3">
      <c r="F2747" s="90"/>
      <c r="G2747" s="90"/>
    </row>
    <row r="2748" spans="6:7" x14ac:dyDescent="0.3">
      <c r="F2748" s="90"/>
      <c r="G2748" s="90"/>
    </row>
    <row r="2749" spans="6:7" x14ac:dyDescent="0.3">
      <c r="F2749" s="90"/>
      <c r="G2749" s="90"/>
    </row>
    <row r="2750" spans="6:7" x14ac:dyDescent="0.3">
      <c r="F2750" s="90"/>
      <c r="G2750" s="90"/>
    </row>
    <row r="2751" spans="6:7" x14ac:dyDescent="0.3">
      <c r="F2751" s="90"/>
      <c r="G2751" s="90"/>
    </row>
    <row r="2752" spans="6:7" x14ac:dyDescent="0.3">
      <c r="F2752" s="90"/>
      <c r="G2752" s="90"/>
    </row>
    <row r="2753" spans="6:7" x14ac:dyDescent="0.3">
      <c r="F2753" s="90"/>
      <c r="G2753" s="90"/>
    </row>
    <row r="2754" spans="6:7" x14ac:dyDescent="0.3">
      <c r="F2754" s="90"/>
      <c r="G2754" s="90"/>
    </row>
    <row r="2755" spans="6:7" x14ac:dyDescent="0.3">
      <c r="F2755" s="90"/>
      <c r="G2755" s="90"/>
    </row>
    <row r="2756" spans="6:7" x14ac:dyDescent="0.3">
      <c r="F2756" s="90"/>
      <c r="G2756" s="90"/>
    </row>
    <row r="2757" spans="6:7" x14ac:dyDescent="0.3">
      <c r="F2757" s="90"/>
      <c r="G2757" s="90"/>
    </row>
    <row r="2758" spans="6:7" x14ac:dyDescent="0.3">
      <c r="F2758" s="90"/>
      <c r="G2758" s="90"/>
    </row>
    <row r="2759" spans="6:7" x14ac:dyDescent="0.3">
      <c r="F2759" s="90"/>
      <c r="G2759" s="90"/>
    </row>
    <row r="2760" spans="6:7" x14ac:dyDescent="0.3">
      <c r="F2760" s="90"/>
      <c r="G2760" s="90"/>
    </row>
    <row r="2761" spans="6:7" x14ac:dyDescent="0.3">
      <c r="F2761" s="90"/>
      <c r="G2761" s="90"/>
    </row>
    <row r="2762" spans="6:7" x14ac:dyDescent="0.3">
      <c r="F2762" s="90"/>
      <c r="G2762" s="90"/>
    </row>
    <row r="2763" spans="6:7" x14ac:dyDescent="0.3">
      <c r="F2763" s="90"/>
      <c r="G2763" s="90"/>
    </row>
    <row r="2764" spans="6:7" x14ac:dyDescent="0.3">
      <c r="F2764" s="90"/>
      <c r="G2764" s="90"/>
    </row>
    <row r="2765" spans="6:7" x14ac:dyDescent="0.3">
      <c r="F2765" s="90"/>
      <c r="G2765" s="90"/>
    </row>
    <row r="2766" spans="6:7" x14ac:dyDescent="0.3">
      <c r="F2766" s="90"/>
      <c r="G2766" s="90"/>
    </row>
    <row r="2767" spans="6:7" x14ac:dyDescent="0.3">
      <c r="F2767" s="90"/>
      <c r="G2767" s="90"/>
    </row>
    <row r="2768" spans="6:7" x14ac:dyDescent="0.3">
      <c r="F2768" s="90"/>
      <c r="G2768" s="90"/>
    </row>
    <row r="2769" spans="6:7" x14ac:dyDescent="0.3">
      <c r="F2769" s="90"/>
      <c r="G2769" s="90"/>
    </row>
    <row r="2770" spans="6:7" x14ac:dyDescent="0.3">
      <c r="F2770" s="90"/>
      <c r="G2770" s="90"/>
    </row>
    <row r="2771" spans="6:7" x14ac:dyDescent="0.3">
      <c r="F2771" s="90"/>
      <c r="G2771" s="90"/>
    </row>
    <row r="2772" spans="6:7" x14ac:dyDescent="0.3">
      <c r="F2772" s="90"/>
      <c r="G2772" s="90"/>
    </row>
    <row r="2773" spans="6:7" x14ac:dyDescent="0.3">
      <c r="F2773" s="90"/>
      <c r="G2773" s="90"/>
    </row>
    <row r="2774" spans="6:7" x14ac:dyDescent="0.3">
      <c r="F2774" s="90"/>
      <c r="G2774" s="90"/>
    </row>
    <row r="2775" spans="6:7" x14ac:dyDescent="0.3">
      <c r="F2775" s="90"/>
      <c r="G2775" s="90"/>
    </row>
    <row r="2776" spans="6:7" x14ac:dyDescent="0.3">
      <c r="F2776" s="90"/>
      <c r="G2776" s="90"/>
    </row>
    <row r="2777" spans="6:7" x14ac:dyDescent="0.3">
      <c r="F2777" s="90"/>
      <c r="G2777" s="90"/>
    </row>
    <row r="2778" spans="6:7" x14ac:dyDescent="0.3">
      <c r="F2778" s="90"/>
      <c r="G2778" s="90"/>
    </row>
    <row r="2779" spans="6:7" x14ac:dyDescent="0.3">
      <c r="F2779" s="90"/>
      <c r="G2779" s="90"/>
    </row>
    <row r="2780" spans="6:7" x14ac:dyDescent="0.3">
      <c r="F2780" s="90"/>
      <c r="G2780" s="90"/>
    </row>
    <row r="2781" spans="6:7" x14ac:dyDescent="0.3">
      <c r="F2781" s="90"/>
      <c r="G2781" s="90"/>
    </row>
    <row r="2782" spans="6:7" x14ac:dyDescent="0.3">
      <c r="F2782" s="90"/>
      <c r="G2782" s="90"/>
    </row>
    <row r="2783" spans="6:7" x14ac:dyDescent="0.3">
      <c r="F2783" s="90"/>
      <c r="G2783" s="90"/>
    </row>
    <row r="2784" spans="6:7" x14ac:dyDescent="0.3">
      <c r="F2784" s="90"/>
      <c r="G2784" s="90"/>
    </row>
    <row r="2785" spans="6:7" x14ac:dyDescent="0.3">
      <c r="F2785" s="90"/>
      <c r="G2785" s="90"/>
    </row>
    <row r="2786" spans="6:7" x14ac:dyDescent="0.3">
      <c r="F2786" s="90"/>
      <c r="G2786" s="90"/>
    </row>
    <row r="2787" spans="6:7" x14ac:dyDescent="0.3">
      <c r="F2787" s="90"/>
      <c r="G2787" s="90"/>
    </row>
    <row r="2788" spans="6:7" x14ac:dyDescent="0.3">
      <c r="F2788" s="90"/>
      <c r="G2788" s="90"/>
    </row>
    <row r="2789" spans="6:7" x14ac:dyDescent="0.3">
      <c r="F2789" s="90"/>
      <c r="G2789" s="90"/>
    </row>
    <row r="2790" spans="6:7" x14ac:dyDescent="0.3">
      <c r="F2790" s="90"/>
      <c r="G2790" s="90"/>
    </row>
    <row r="2791" spans="6:7" x14ac:dyDescent="0.3">
      <c r="F2791" s="90"/>
      <c r="G2791" s="90"/>
    </row>
    <row r="2792" spans="6:7" x14ac:dyDescent="0.3">
      <c r="F2792" s="90"/>
      <c r="G2792" s="90"/>
    </row>
    <row r="2793" spans="6:7" x14ac:dyDescent="0.3">
      <c r="F2793" s="90"/>
      <c r="G2793" s="90"/>
    </row>
    <row r="2794" spans="6:7" x14ac:dyDescent="0.3">
      <c r="F2794" s="90"/>
      <c r="G2794" s="90"/>
    </row>
    <row r="2795" spans="6:7" x14ac:dyDescent="0.3">
      <c r="F2795" s="90"/>
      <c r="G2795" s="90"/>
    </row>
    <row r="2796" spans="6:7" x14ac:dyDescent="0.3">
      <c r="F2796" s="90"/>
      <c r="G2796" s="90"/>
    </row>
    <row r="2797" spans="6:7" x14ac:dyDescent="0.3">
      <c r="F2797" s="90"/>
      <c r="G2797" s="90"/>
    </row>
    <row r="2798" spans="6:7" x14ac:dyDescent="0.3">
      <c r="F2798" s="90"/>
      <c r="G2798" s="90"/>
    </row>
    <row r="2799" spans="6:7" x14ac:dyDescent="0.3">
      <c r="F2799" s="90"/>
      <c r="G2799" s="90"/>
    </row>
    <row r="2800" spans="6:7" x14ac:dyDescent="0.3">
      <c r="F2800" s="90"/>
      <c r="G2800" s="90"/>
    </row>
    <row r="2801" spans="6:7" x14ac:dyDescent="0.3">
      <c r="F2801" s="90"/>
      <c r="G2801" s="90"/>
    </row>
    <row r="2802" spans="6:7" x14ac:dyDescent="0.3">
      <c r="F2802" s="90"/>
      <c r="G2802" s="90"/>
    </row>
    <row r="2803" spans="6:7" x14ac:dyDescent="0.3">
      <c r="F2803" s="90"/>
      <c r="G2803" s="90"/>
    </row>
    <row r="2804" spans="6:7" x14ac:dyDescent="0.3">
      <c r="F2804" s="90"/>
      <c r="G2804" s="90"/>
    </row>
    <row r="2805" spans="6:7" x14ac:dyDescent="0.3">
      <c r="F2805" s="90"/>
      <c r="G2805" s="90"/>
    </row>
    <row r="2806" spans="6:7" x14ac:dyDescent="0.3">
      <c r="F2806" s="90"/>
      <c r="G2806" s="90"/>
    </row>
    <row r="2807" spans="6:7" x14ac:dyDescent="0.3">
      <c r="F2807" s="90"/>
      <c r="G2807" s="90"/>
    </row>
    <row r="2808" spans="6:7" x14ac:dyDescent="0.3">
      <c r="F2808" s="90"/>
      <c r="G2808" s="90"/>
    </row>
    <row r="2809" spans="6:7" x14ac:dyDescent="0.3">
      <c r="F2809" s="90"/>
      <c r="G2809" s="90"/>
    </row>
    <row r="2810" spans="6:7" x14ac:dyDescent="0.3">
      <c r="F2810" s="90"/>
      <c r="G2810" s="90"/>
    </row>
    <row r="2811" spans="6:7" x14ac:dyDescent="0.3">
      <c r="F2811" s="90"/>
      <c r="G2811" s="90"/>
    </row>
    <row r="2812" spans="6:7" x14ac:dyDescent="0.3">
      <c r="F2812" s="90"/>
      <c r="G2812" s="90"/>
    </row>
    <row r="2813" spans="6:7" x14ac:dyDescent="0.3">
      <c r="F2813" s="90"/>
      <c r="G2813" s="90"/>
    </row>
    <row r="2814" spans="6:7" x14ac:dyDescent="0.3">
      <c r="F2814" s="90"/>
      <c r="G2814" s="90"/>
    </row>
    <row r="2815" spans="6:7" x14ac:dyDescent="0.3">
      <c r="F2815" s="90"/>
      <c r="G2815" s="90"/>
    </row>
    <row r="2816" spans="6:7" x14ac:dyDescent="0.3">
      <c r="F2816" s="90"/>
      <c r="G2816" s="90"/>
    </row>
    <row r="2817" spans="6:7" x14ac:dyDescent="0.3">
      <c r="F2817" s="90"/>
      <c r="G2817" s="90"/>
    </row>
    <row r="2818" spans="6:7" x14ac:dyDescent="0.3">
      <c r="F2818" s="90"/>
      <c r="G2818" s="90"/>
    </row>
    <row r="2819" spans="6:7" x14ac:dyDescent="0.3">
      <c r="F2819" s="90"/>
      <c r="G2819" s="90"/>
    </row>
    <row r="2820" spans="6:7" x14ac:dyDescent="0.3">
      <c r="F2820" s="90"/>
      <c r="G2820" s="90"/>
    </row>
    <row r="2821" spans="6:7" x14ac:dyDescent="0.3">
      <c r="F2821" s="90"/>
      <c r="G2821" s="90"/>
    </row>
    <row r="2822" spans="6:7" x14ac:dyDescent="0.3">
      <c r="F2822" s="90"/>
      <c r="G2822" s="90"/>
    </row>
    <row r="2823" spans="6:7" x14ac:dyDescent="0.3">
      <c r="F2823" s="90"/>
      <c r="G2823" s="90"/>
    </row>
    <row r="2824" spans="6:7" x14ac:dyDescent="0.3">
      <c r="F2824" s="90"/>
      <c r="G2824" s="90"/>
    </row>
    <row r="2825" spans="6:7" x14ac:dyDescent="0.3">
      <c r="F2825" s="90"/>
      <c r="G2825" s="90"/>
    </row>
    <row r="2826" spans="6:7" x14ac:dyDescent="0.3">
      <c r="F2826" s="90"/>
      <c r="G2826" s="90"/>
    </row>
    <row r="2827" spans="6:7" x14ac:dyDescent="0.3">
      <c r="F2827" s="90"/>
      <c r="G2827" s="90"/>
    </row>
    <row r="2828" spans="6:7" x14ac:dyDescent="0.3">
      <c r="F2828" s="90"/>
      <c r="G2828" s="90"/>
    </row>
    <row r="2829" spans="6:7" x14ac:dyDescent="0.3">
      <c r="F2829" s="90"/>
      <c r="G2829" s="90"/>
    </row>
    <row r="2830" spans="6:7" x14ac:dyDescent="0.3">
      <c r="F2830" s="90"/>
      <c r="G2830" s="90"/>
    </row>
    <row r="2831" spans="6:7" x14ac:dyDescent="0.3">
      <c r="F2831" s="90"/>
      <c r="G2831" s="90"/>
    </row>
    <row r="2832" spans="6:7" x14ac:dyDescent="0.3">
      <c r="F2832" s="90"/>
      <c r="G2832" s="90"/>
    </row>
    <row r="2833" spans="6:7" x14ac:dyDescent="0.3">
      <c r="F2833" s="90"/>
      <c r="G2833" s="90"/>
    </row>
    <row r="2834" spans="6:7" x14ac:dyDescent="0.3">
      <c r="F2834" s="90"/>
      <c r="G2834" s="90"/>
    </row>
    <row r="2835" spans="6:7" x14ac:dyDescent="0.3">
      <c r="F2835" s="90"/>
      <c r="G2835" s="90"/>
    </row>
    <row r="2836" spans="6:7" x14ac:dyDescent="0.3">
      <c r="F2836" s="90"/>
      <c r="G2836" s="90"/>
    </row>
    <row r="2837" spans="6:7" x14ac:dyDescent="0.3">
      <c r="F2837" s="90"/>
      <c r="G2837" s="90"/>
    </row>
    <row r="2838" spans="6:7" x14ac:dyDescent="0.3">
      <c r="F2838" s="90"/>
      <c r="G2838" s="90"/>
    </row>
    <row r="2839" spans="6:7" x14ac:dyDescent="0.3">
      <c r="F2839" s="90"/>
      <c r="G2839" s="90"/>
    </row>
    <row r="2840" spans="6:7" x14ac:dyDescent="0.3">
      <c r="F2840" s="90"/>
      <c r="G2840" s="90"/>
    </row>
    <row r="2841" spans="6:7" x14ac:dyDescent="0.3">
      <c r="F2841" s="90"/>
      <c r="G2841" s="90"/>
    </row>
    <row r="2842" spans="6:7" x14ac:dyDescent="0.3">
      <c r="F2842" s="90"/>
      <c r="G2842" s="90"/>
    </row>
    <row r="2843" spans="6:7" x14ac:dyDescent="0.3">
      <c r="F2843" s="90"/>
      <c r="G2843" s="90"/>
    </row>
    <row r="2844" spans="6:7" x14ac:dyDescent="0.3">
      <c r="F2844" s="90"/>
      <c r="G2844" s="90"/>
    </row>
    <row r="2845" spans="6:7" x14ac:dyDescent="0.3">
      <c r="F2845" s="90"/>
      <c r="G2845" s="90"/>
    </row>
    <row r="2846" spans="6:7" x14ac:dyDescent="0.3">
      <c r="F2846" s="90"/>
      <c r="G2846" s="90"/>
    </row>
    <row r="2847" spans="6:7" x14ac:dyDescent="0.3">
      <c r="F2847" s="90"/>
      <c r="G2847" s="90"/>
    </row>
    <row r="2848" spans="6:7" x14ac:dyDescent="0.3">
      <c r="F2848" s="90"/>
      <c r="G2848" s="90"/>
    </row>
    <row r="2849" spans="6:7" x14ac:dyDescent="0.3">
      <c r="F2849" s="90"/>
      <c r="G2849" s="90"/>
    </row>
    <row r="2850" spans="6:7" x14ac:dyDescent="0.3">
      <c r="F2850" s="90"/>
      <c r="G2850" s="90"/>
    </row>
    <row r="2851" spans="6:7" x14ac:dyDescent="0.3">
      <c r="F2851" s="90"/>
      <c r="G2851" s="90"/>
    </row>
    <row r="2852" spans="6:7" x14ac:dyDescent="0.3">
      <c r="F2852" s="90"/>
      <c r="G2852" s="90"/>
    </row>
    <row r="2853" spans="6:7" x14ac:dyDescent="0.3">
      <c r="F2853" s="90"/>
      <c r="G2853" s="90"/>
    </row>
    <row r="2854" spans="6:7" x14ac:dyDescent="0.3">
      <c r="F2854" s="90"/>
      <c r="G2854" s="90"/>
    </row>
    <row r="2855" spans="6:7" x14ac:dyDescent="0.3">
      <c r="F2855" s="90"/>
      <c r="G2855" s="90"/>
    </row>
    <row r="2856" spans="6:7" x14ac:dyDescent="0.3">
      <c r="F2856" s="90"/>
      <c r="G2856" s="90"/>
    </row>
    <row r="2857" spans="6:7" x14ac:dyDescent="0.3">
      <c r="F2857" s="90"/>
      <c r="G2857" s="90"/>
    </row>
    <row r="2858" spans="6:7" x14ac:dyDescent="0.3">
      <c r="F2858" s="90"/>
      <c r="G2858" s="90"/>
    </row>
    <row r="2859" spans="6:7" x14ac:dyDescent="0.3">
      <c r="F2859" s="90"/>
      <c r="G2859" s="90"/>
    </row>
    <row r="2860" spans="6:7" x14ac:dyDescent="0.3">
      <c r="F2860" s="90"/>
      <c r="G2860" s="90"/>
    </row>
    <row r="2861" spans="6:7" x14ac:dyDescent="0.3">
      <c r="F2861" s="90"/>
      <c r="G2861" s="90"/>
    </row>
    <row r="2862" spans="6:7" x14ac:dyDescent="0.3">
      <c r="F2862" s="90"/>
      <c r="G2862" s="90"/>
    </row>
    <row r="2863" spans="6:7" x14ac:dyDescent="0.3">
      <c r="F2863" s="90"/>
      <c r="G2863" s="90"/>
    </row>
    <row r="2864" spans="6:7" x14ac:dyDescent="0.3">
      <c r="F2864" s="90"/>
      <c r="G2864" s="90"/>
    </row>
    <row r="2865" spans="6:7" x14ac:dyDescent="0.3">
      <c r="F2865" s="90"/>
      <c r="G2865" s="90"/>
    </row>
    <row r="2866" spans="6:7" x14ac:dyDescent="0.3">
      <c r="F2866" s="90"/>
      <c r="G2866" s="90"/>
    </row>
    <row r="2867" spans="6:7" x14ac:dyDescent="0.3">
      <c r="F2867" s="90"/>
      <c r="G2867" s="90"/>
    </row>
    <row r="2868" spans="6:7" x14ac:dyDescent="0.3">
      <c r="F2868" s="90"/>
      <c r="G2868" s="90"/>
    </row>
    <row r="2869" spans="6:7" x14ac:dyDescent="0.3">
      <c r="F2869" s="90"/>
      <c r="G2869" s="90"/>
    </row>
    <row r="2870" spans="6:7" x14ac:dyDescent="0.3">
      <c r="F2870" s="90"/>
      <c r="G2870" s="90"/>
    </row>
    <row r="2871" spans="6:7" x14ac:dyDescent="0.3">
      <c r="F2871" s="90"/>
      <c r="G2871" s="90"/>
    </row>
    <row r="2872" spans="6:7" x14ac:dyDescent="0.3">
      <c r="F2872" s="90"/>
      <c r="G2872" s="90"/>
    </row>
    <row r="2873" spans="6:7" x14ac:dyDescent="0.3">
      <c r="F2873" s="90"/>
      <c r="G2873" s="90"/>
    </row>
    <row r="2874" spans="6:7" x14ac:dyDescent="0.3">
      <c r="F2874" s="90"/>
      <c r="G2874" s="90"/>
    </row>
    <row r="2875" spans="6:7" x14ac:dyDescent="0.3">
      <c r="F2875" s="90"/>
      <c r="G2875" s="90"/>
    </row>
    <row r="2876" spans="6:7" x14ac:dyDescent="0.3">
      <c r="F2876" s="90"/>
      <c r="G2876" s="90"/>
    </row>
    <row r="2877" spans="6:7" x14ac:dyDescent="0.3">
      <c r="F2877" s="90"/>
      <c r="G2877" s="90"/>
    </row>
    <row r="2878" spans="6:7" x14ac:dyDescent="0.3">
      <c r="F2878" s="90"/>
      <c r="G2878" s="90"/>
    </row>
    <row r="2879" spans="6:7" x14ac:dyDescent="0.3">
      <c r="F2879" s="90"/>
      <c r="G2879" s="90"/>
    </row>
    <row r="2880" spans="6:7" x14ac:dyDescent="0.3">
      <c r="F2880" s="90"/>
      <c r="G2880" s="90"/>
    </row>
    <row r="2881" spans="6:7" x14ac:dyDescent="0.3">
      <c r="F2881" s="90"/>
      <c r="G2881" s="90"/>
    </row>
    <row r="2882" spans="6:7" x14ac:dyDescent="0.3">
      <c r="F2882" s="90"/>
      <c r="G2882" s="90"/>
    </row>
    <row r="2883" spans="6:7" x14ac:dyDescent="0.3">
      <c r="F2883" s="90"/>
      <c r="G2883" s="90"/>
    </row>
    <row r="2884" spans="6:7" x14ac:dyDescent="0.3">
      <c r="F2884" s="90"/>
      <c r="G2884" s="90"/>
    </row>
    <row r="2885" spans="6:7" x14ac:dyDescent="0.3">
      <c r="F2885" s="90"/>
      <c r="G2885" s="90"/>
    </row>
    <row r="2886" spans="6:7" x14ac:dyDescent="0.3">
      <c r="F2886" s="90"/>
      <c r="G2886" s="90"/>
    </row>
    <row r="2887" spans="6:7" x14ac:dyDescent="0.3">
      <c r="F2887" s="90"/>
      <c r="G2887" s="90"/>
    </row>
    <row r="2888" spans="6:7" x14ac:dyDescent="0.3">
      <c r="F2888" s="90"/>
      <c r="G2888" s="90"/>
    </row>
    <row r="2889" spans="6:7" x14ac:dyDescent="0.3">
      <c r="F2889" s="90"/>
      <c r="G2889" s="90"/>
    </row>
    <row r="2890" spans="6:7" x14ac:dyDescent="0.3">
      <c r="F2890" s="90"/>
      <c r="G2890" s="90"/>
    </row>
    <row r="2891" spans="6:7" x14ac:dyDescent="0.3">
      <c r="F2891" s="90"/>
      <c r="G2891" s="90"/>
    </row>
    <row r="2892" spans="6:7" x14ac:dyDescent="0.3">
      <c r="F2892" s="90"/>
      <c r="G2892" s="90"/>
    </row>
    <row r="2893" spans="6:7" x14ac:dyDescent="0.3">
      <c r="F2893" s="90"/>
      <c r="G2893" s="90"/>
    </row>
    <row r="2894" spans="6:7" x14ac:dyDescent="0.3">
      <c r="F2894" s="90"/>
      <c r="G2894" s="90"/>
    </row>
    <row r="2895" spans="6:7" x14ac:dyDescent="0.3">
      <c r="F2895" s="90"/>
      <c r="G2895" s="90"/>
    </row>
    <row r="2896" spans="6:7" x14ac:dyDescent="0.3">
      <c r="F2896" s="90"/>
      <c r="G2896" s="90"/>
    </row>
    <row r="2897" spans="6:7" x14ac:dyDescent="0.3">
      <c r="F2897" s="90"/>
      <c r="G2897" s="90"/>
    </row>
    <row r="2898" spans="6:7" x14ac:dyDescent="0.3">
      <c r="F2898" s="90"/>
      <c r="G2898" s="90"/>
    </row>
    <row r="2899" spans="6:7" x14ac:dyDescent="0.3">
      <c r="F2899" s="90"/>
      <c r="G2899" s="90"/>
    </row>
    <row r="2900" spans="6:7" x14ac:dyDescent="0.3">
      <c r="F2900" s="90"/>
      <c r="G2900" s="90"/>
    </row>
    <row r="2901" spans="6:7" x14ac:dyDescent="0.3">
      <c r="F2901" s="90"/>
      <c r="G2901" s="90"/>
    </row>
    <row r="2902" spans="6:7" x14ac:dyDescent="0.3">
      <c r="F2902" s="90"/>
      <c r="G2902" s="90"/>
    </row>
    <row r="2903" spans="6:7" x14ac:dyDescent="0.3">
      <c r="F2903" s="90"/>
      <c r="G2903" s="90"/>
    </row>
    <row r="2904" spans="6:7" x14ac:dyDescent="0.3">
      <c r="F2904" s="90"/>
      <c r="G2904" s="90"/>
    </row>
    <row r="2905" spans="6:7" x14ac:dyDescent="0.3">
      <c r="F2905" s="90"/>
      <c r="G2905" s="90"/>
    </row>
    <row r="2906" spans="6:7" x14ac:dyDescent="0.3">
      <c r="F2906" s="90"/>
      <c r="G2906" s="90"/>
    </row>
    <row r="2907" spans="6:7" x14ac:dyDescent="0.3">
      <c r="F2907" s="90"/>
      <c r="G2907" s="90"/>
    </row>
    <row r="2908" spans="6:7" x14ac:dyDescent="0.3">
      <c r="F2908" s="90"/>
      <c r="G2908" s="90"/>
    </row>
    <row r="2909" spans="6:7" x14ac:dyDescent="0.3">
      <c r="F2909" s="90"/>
      <c r="G2909" s="90"/>
    </row>
    <row r="2910" spans="6:7" x14ac:dyDescent="0.3">
      <c r="F2910" s="90"/>
      <c r="G2910" s="90"/>
    </row>
    <row r="2911" spans="6:7" x14ac:dyDescent="0.3">
      <c r="F2911" s="90"/>
      <c r="G2911" s="90"/>
    </row>
    <row r="2912" spans="6:7" x14ac:dyDescent="0.3">
      <c r="F2912" s="90"/>
      <c r="G2912" s="90"/>
    </row>
    <row r="2913" spans="6:7" x14ac:dyDescent="0.3">
      <c r="F2913" s="90"/>
      <c r="G2913" s="90"/>
    </row>
    <row r="2914" spans="6:7" x14ac:dyDescent="0.3">
      <c r="F2914" s="90"/>
      <c r="G2914" s="90"/>
    </row>
    <row r="2915" spans="6:7" x14ac:dyDescent="0.3">
      <c r="F2915" s="90"/>
      <c r="G2915" s="90"/>
    </row>
    <row r="2916" spans="6:7" x14ac:dyDescent="0.3">
      <c r="F2916" s="90"/>
      <c r="G2916" s="90"/>
    </row>
    <row r="2917" spans="6:7" x14ac:dyDescent="0.3">
      <c r="F2917" s="90"/>
      <c r="G2917" s="90"/>
    </row>
    <row r="2918" spans="6:7" x14ac:dyDescent="0.3">
      <c r="F2918" s="90"/>
      <c r="G2918" s="90"/>
    </row>
    <row r="2919" spans="6:7" x14ac:dyDescent="0.3">
      <c r="F2919" s="90"/>
      <c r="G2919" s="90"/>
    </row>
    <row r="2920" spans="6:7" x14ac:dyDescent="0.3">
      <c r="F2920" s="90"/>
      <c r="G2920" s="90"/>
    </row>
    <row r="2921" spans="6:7" x14ac:dyDescent="0.3">
      <c r="F2921" s="90"/>
      <c r="G2921" s="90"/>
    </row>
    <row r="2922" spans="6:7" x14ac:dyDescent="0.3">
      <c r="F2922" s="90"/>
      <c r="G2922" s="90"/>
    </row>
    <row r="2923" spans="6:7" x14ac:dyDescent="0.3">
      <c r="F2923" s="90"/>
      <c r="G2923" s="90"/>
    </row>
    <row r="2924" spans="6:7" x14ac:dyDescent="0.3">
      <c r="F2924" s="90"/>
      <c r="G2924" s="90"/>
    </row>
    <row r="2925" spans="6:7" x14ac:dyDescent="0.3">
      <c r="F2925" s="90"/>
      <c r="G2925" s="90"/>
    </row>
    <row r="2926" spans="6:7" x14ac:dyDescent="0.3">
      <c r="F2926" s="90"/>
      <c r="G2926" s="90"/>
    </row>
    <row r="2927" spans="6:7" x14ac:dyDescent="0.3">
      <c r="F2927" s="90"/>
      <c r="G2927" s="90"/>
    </row>
    <row r="2928" spans="6:7" x14ac:dyDescent="0.3">
      <c r="F2928" s="90"/>
      <c r="G2928" s="90"/>
    </row>
    <row r="2929" spans="6:7" x14ac:dyDescent="0.3">
      <c r="F2929" s="90"/>
      <c r="G2929" s="90"/>
    </row>
    <row r="2930" spans="6:7" x14ac:dyDescent="0.3">
      <c r="F2930" s="90"/>
      <c r="G2930" s="90"/>
    </row>
    <row r="2931" spans="6:7" x14ac:dyDescent="0.3">
      <c r="F2931" s="90"/>
      <c r="G2931" s="90"/>
    </row>
    <row r="2932" spans="6:7" x14ac:dyDescent="0.3">
      <c r="F2932" s="90"/>
      <c r="G2932" s="90"/>
    </row>
    <row r="2933" spans="6:7" x14ac:dyDescent="0.3">
      <c r="F2933" s="90"/>
      <c r="G2933" s="90"/>
    </row>
    <row r="2934" spans="6:7" x14ac:dyDescent="0.3">
      <c r="F2934" s="90"/>
      <c r="G2934" s="90"/>
    </row>
    <row r="2935" spans="6:7" x14ac:dyDescent="0.3">
      <c r="F2935" s="90"/>
      <c r="G2935" s="90"/>
    </row>
    <row r="2936" spans="6:7" x14ac:dyDescent="0.3">
      <c r="F2936" s="90"/>
      <c r="G2936" s="90"/>
    </row>
    <row r="2937" spans="6:7" x14ac:dyDescent="0.3">
      <c r="F2937" s="90"/>
      <c r="G2937" s="90"/>
    </row>
    <row r="2938" spans="6:7" x14ac:dyDescent="0.3">
      <c r="F2938" s="90"/>
      <c r="G2938" s="90"/>
    </row>
    <row r="2939" spans="6:7" x14ac:dyDescent="0.3">
      <c r="F2939" s="90"/>
      <c r="G2939" s="90"/>
    </row>
    <row r="2940" spans="6:7" x14ac:dyDescent="0.3">
      <c r="F2940" s="90"/>
      <c r="G2940" s="90"/>
    </row>
    <row r="2941" spans="6:7" x14ac:dyDescent="0.3">
      <c r="F2941" s="90"/>
      <c r="G2941" s="90"/>
    </row>
    <row r="2942" spans="6:7" x14ac:dyDescent="0.3">
      <c r="F2942" s="90"/>
      <c r="G2942" s="90"/>
    </row>
    <row r="2943" spans="6:7" x14ac:dyDescent="0.3">
      <c r="F2943" s="90"/>
      <c r="G2943" s="90"/>
    </row>
    <row r="2944" spans="6:7" x14ac:dyDescent="0.3">
      <c r="F2944" s="90"/>
      <c r="G2944" s="90"/>
    </row>
    <row r="2945" spans="6:7" x14ac:dyDescent="0.3">
      <c r="F2945" s="90"/>
      <c r="G2945" s="90"/>
    </row>
    <row r="2946" spans="6:7" x14ac:dyDescent="0.3">
      <c r="F2946" s="90"/>
      <c r="G2946" s="90"/>
    </row>
    <row r="2947" spans="6:7" x14ac:dyDescent="0.3">
      <c r="F2947" s="90"/>
      <c r="G2947" s="90"/>
    </row>
    <row r="2948" spans="6:7" x14ac:dyDescent="0.3">
      <c r="F2948" s="90"/>
      <c r="G2948" s="90"/>
    </row>
    <row r="2949" spans="6:7" x14ac:dyDescent="0.3">
      <c r="F2949" s="90"/>
      <c r="G2949" s="90"/>
    </row>
    <row r="2950" spans="6:7" x14ac:dyDescent="0.3">
      <c r="F2950" s="90"/>
      <c r="G2950" s="90"/>
    </row>
    <row r="2951" spans="6:7" x14ac:dyDescent="0.3">
      <c r="F2951" s="90"/>
      <c r="G2951" s="90"/>
    </row>
    <row r="2952" spans="6:7" x14ac:dyDescent="0.3">
      <c r="F2952" s="90"/>
      <c r="G2952" s="90"/>
    </row>
    <row r="2953" spans="6:7" x14ac:dyDescent="0.3">
      <c r="F2953" s="90"/>
      <c r="G2953" s="90"/>
    </row>
    <row r="2954" spans="6:7" x14ac:dyDescent="0.3">
      <c r="F2954" s="90"/>
      <c r="G2954" s="90"/>
    </row>
    <row r="2955" spans="6:7" x14ac:dyDescent="0.3">
      <c r="F2955" s="90"/>
      <c r="G2955" s="90"/>
    </row>
    <row r="2956" spans="6:7" x14ac:dyDescent="0.3">
      <c r="F2956" s="90"/>
      <c r="G2956" s="90"/>
    </row>
    <row r="2957" spans="6:7" x14ac:dyDescent="0.3">
      <c r="F2957" s="90"/>
      <c r="G2957" s="90"/>
    </row>
    <row r="2958" spans="6:7" x14ac:dyDescent="0.3">
      <c r="F2958" s="90"/>
      <c r="G2958" s="90"/>
    </row>
    <row r="2959" spans="6:7" x14ac:dyDescent="0.3">
      <c r="F2959" s="90"/>
      <c r="G2959" s="90"/>
    </row>
    <row r="2960" spans="6:7" x14ac:dyDescent="0.3">
      <c r="F2960" s="90"/>
      <c r="G2960" s="90"/>
    </row>
    <row r="2961" spans="6:7" x14ac:dyDescent="0.3">
      <c r="F2961" s="90"/>
      <c r="G2961" s="90"/>
    </row>
    <row r="2962" spans="6:7" x14ac:dyDescent="0.3">
      <c r="F2962" s="90"/>
      <c r="G2962" s="90"/>
    </row>
    <row r="2963" spans="6:7" x14ac:dyDescent="0.3">
      <c r="F2963" s="90"/>
      <c r="G2963" s="90"/>
    </row>
    <row r="2964" spans="6:7" x14ac:dyDescent="0.3">
      <c r="F2964" s="90"/>
      <c r="G2964" s="90"/>
    </row>
    <row r="2965" spans="6:7" x14ac:dyDescent="0.3">
      <c r="F2965" s="90"/>
      <c r="G2965" s="90"/>
    </row>
    <row r="2966" spans="6:7" x14ac:dyDescent="0.3">
      <c r="F2966" s="90"/>
      <c r="G2966" s="90"/>
    </row>
    <row r="2967" spans="6:7" x14ac:dyDescent="0.3">
      <c r="F2967" s="90"/>
      <c r="G2967" s="90"/>
    </row>
    <row r="2968" spans="6:7" x14ac:dyDescent="0.3">
      <c r="F2968" s="90"/>
      <c r="G2968" s="90"/>
    </row>
    <row r="2969" spans="6:7" x14ac:dyDescent="0.3">
      <c r="F2969" s="90"/>
      <c r="G2969" s="90"/>
    </row>
    <row r="2970" spans="6:7" x14ac:dyDescent="0.3">
      <c r="F2970" s="90"/>
      <c r="G2970" s="90"/>
    </row>
    <row r="2971" spans="6:7" x14ac:dyDescent="0.3">
      <c r="F2971" s="90"/>
      <c r="G2971" s="90"/>
    </row>
    <row r="2972" spans="6:7" x14ac:dyDescent="0.3">
      <c r="F2972" s="90"/>
      <c r="G2972" s="90"/>
    </row>
    <row r="2973" spans="6:7" x14ac:dyDescent="0.3">
      <c r="F2973" s="90"/>
      <c r="G2973" s="90"/>
    </row>
    <row r="2974" spans="6:7" x14ac:dyDescent="0.3">
      <c r="F2974" s="90"/>
      <c r="G2974" s="90"/>
    </row>
    <row r="2975" spans="6:7" x14ac:dyDescent="0.3">
      <c r="F2975" s="90"/>
      <c r="G2975" s="90"/>
    </row>
    <row r="2976" spans="6:7" x14ac:dyDescent="0.3">
      <c r="F2976" s="90"/>
      <c r="G2976" s="90"/>
    </row>
    <row r="2977" spans="6:7" x14ac:dyDescent="0.3">
      <c r="F2977" s="90"/>
      <c r="G2977" s="90"/>
    </row>
    <row r="2978" spans="6:7" x14ac:dyDescent="0.3">
      <c r="F2978" s="90"/>
      <c r="G2978" s="90"/>
    </row>
    <row r="2979" spans="6:7" x14ac:dyDescent="0.3">
      <c r="F2979" s="90"/>
      <c r="G2979" s="90"/>
    </row>
    <row r="2980" spans="6:7" x14ac:dyDescent="0.3">
      <c r="F2980" s="90"/>
      <c r="G2980" s="90"/>
    </row>
    <row r="2981" spans="6:7" x14ac:dyDescent="0.3">
      <c r="F2981" s="90"/>
      <c r="G2981" s="90"/>
    </row>
    <row r="2982" spans="6:7" x14ac:dyDescent="0.3">
      <c r="F2982" s="90"/>
      <c r="G2982" s="90"/>
    </row>
    <row r="2983" spans="6:7" x14ac:dyDescent="0.3">
      <c r="F2983" s="90"/>
      <c r="G2983" s="90"/>
    </row>
    <row r="2984" spans="6:7" x14ac:dyDescent="0.3">
      <c r="F2984" s="90"/>
      <c r="G2984" s="90"/>
    </row>
    <row r="2985" spans="6:7" x14ac:dyDescent="0.3">
      <c r="F2985" s="90"/>
      <c r="G2985" s="90"/>
    </row>
    <row r="2986" spans="6:7" x14ac:dyDescent="0.3">
      <c r="F2986" s="90"/>
      <c r="G2986" s="90"/>
    </row>
    <row r="2987" spans="6:7" x14ac:dyDescent="0.3">
      <c r="F2987" s="90"/>
      <c r="G2987" s="90"/>
    </row>
    <row r="2988" spans="6:7" x14ac:dyDescent="0.3">
      <c r="F2988" s="90"/>
      <c r="G2988" s="90"/>
    </row>
    <row r="2989" spans="6:7" x14ac:dyDescent="0.3">
      <c r="F2989" s="90"/>
      <c r="G2989" s="90"/>
    </row>
    <row r="2990" spans="6:7" x14ac:dyDescent="0.3">
      <c r="F2990" s="90"/>
      <c r="G2990" s="90"/>
    </row>
    <row r="2991" spans="6:7" x14ac:dyDescent="0.3">
      <c r="F2991" s="90"/>
      <c r="G2991" s="90"/>
    </row>
    <row r="2992" spans="6:7" x14ac:dyDescent="0.3">
      <c r="F2992" s="90"/>
      <c r="G2992" s="90"/>
    </row>
    <row r="2993" spans="6:7" x14ac:dyDescent="0.3">
      <c r="F2993" s="90"/>
      <c r="G2993" s="90"/>
    </row>
    <row r="2994" spans="6:7" x14ac:dyDescent="0.3">
      <c r="F2994" s="90"/>
      <c r="G2994" s="90"/>
    </row>
    <row r="2995" spans="6:7" x14ac:dyDescent="0.3">
      <c r="F2995" s="90"/>
      <c r="G2995" s="90"/>
    </row>
    <row r="2996" spans="6:7" x14ac:dyDescent="0.3">
      <c r="F2996" s="90"/>
      <c r="G2996" s="90"/>
    </row>
    <row r="2997" spans="6:7" x14ac:dyDescent="0.3">
      <c r="F2997" s="90"/>
      <c r="G2997" s="90"/>
    </row>
    <row r="2998" spans="6:7" x14ac:dyDescent="0.3">
      <c r="F2998" s="90"/>
      <c r="G2998" s="90"/>
    </row>
    <row r="2999" spans="6:7" x14ac:dyDescent="0.3">
      <c r="F2999" s="90"/>
      <c r="G2999" s="90"/>
    </row>
    <row r="3000" spans="6:7" x14ac:dyDescent="0.3">
      <c r="F3000" s="90"/>
      <c r="G3000" s="90"/>
    </row>
    <row r="3001" spans="6:7" x14ac:dyDescent="0.3">
      <c r="F3001" s="90"/>
      <c r="G3001" s="90"/>
    </row>
    <row r="3002" spans="6:7" x14ac:dyDescent="0.3">
      <c r="F3002" s="90"/>
      <c r="G3002" s="90"/>
    </row>
    <row r="3003" spans="6:7" x14ac:dyDescent="0.3">
      <c r="F3003" s="90"/>
      <c r="G3003" s="90"/>
    </row>
    <row r="3004" spans="6:7" x14ac:dyDescent="0.3">
      <c r="F3004" s="90"/>
      <c r="G3004" s="90"/>
    </row>
    <row r="3005" spans="6:7" x14ac:dyDescent="0.3">
      <c r="F3005" s="90"/>
      <c r="G3005" s="90"/>
    </row>
    <row r="3006" spans="6:7" x14ac:dyDescent="0.3">
      <c r="F3006" s="90"/>
      <c r="G3006" s="90"/>
    </row>
    <row r="3007" spans="6:7" x14ac:dyDescent="0.3">
      <c r="F3007" s="90"/>
      <c r="G3007" s="90"/>
    </row>
    <row r="3008" spans="6:7" x14ac:dyDescent="0.3">
      <c r="F3008" s="90"/>
      <c r="G3008" s="90"/>
    </row>
    <row r="3009" spans="6:7" x14ac:dyDescent="0.3">
      <c r="F3009" s="90"/>
      <c r="G3009" s="90"/>
    </row>
    <row r="3010" spans="6:7" x14ac:dyDescent="0.3">
      <c r="F3010" s="90"/>
      <c r="G3010" s="90"/>
    </row>
    <row r="3011" spans="6:7" x14ac:dyDescent="0.3">
      <c r="F3011" s="90"/>
      <c r="G3011" s="90"/>
    </row>
    <row r="3012" spans="6:7" x14ac:dyDescent="0.3">
      <c r="F3012" s="90"/>
      <c r="G3012" s="90"/>
    </row>
    <row r="3013" spans="6:7" x14ac:dyDescent="0.3">
      <c r="F3013" s="90"/>
      <c r="G3013" s="90"/>
    </row>
    <row r="3014" spans="6:7" x14ac:dyDescent="0.3">
      <c r="F3014" s="90"/>
      <c r="G3014" s="90"/>
    </row>
    <row r="3015" spans="6:7" x14ac:dyDescent="0.3">
      <c r="F3015" s="90"/>
      <c r="G3015" s="90"/>
    </row>
    <row r="3016" spans="6:7" x14ac:dyDescent="0.3">
      <c r="F3016" s="90"/>
      <c r="G3016" s="90"/>
    </row>
    <row r="3017" spans="6:7" x14ac:dyDescent="0.3">
      <c r="F3017" s="90"/>
      <c r="G3017" s="90"/>
    </row>
    <row r="3018" spans="6:7" x14ac:dyDescent="0.3">
      <c r="F3018" s="90"/>
      <c r="G3018" s="90"/>
    </row>
    <row r="3019" spans="6:7" x14ac:dyDescent="0.3">
      <c r="F3019" s="90"/>
      <c r="G3019" s="90"/>
    </row>
    <row r="3020" spans="6:7" x14ac:dyDescent="0.3">
      <c r="F3020" s="90"/>
      <c r="G3020" s="90"/>
    </row>
    <row r="3021" spans="6:7" x14ac:dyDescent="0.3">
      <c r="F3021" s="90"/>
      <c r="G3021" s="90"/>
    </row>
    <row r="3022" spans="6:7" x14ac:dyDescent="0.3">
      <c r="F3022" s="90"/>
      <c r="G3022" s="90"/>
    </row>
    <row r="3023" spans="6:7" x14ac:dyDescent="0.3">
      <c r="F3023" s="90"/>
      <c r="G3023" s="90"/>
    </row>
    <row r="3024" spans="6:7" x14ac:dyDescent="0.3">
      <c r="F3024" s="90"/>
      <c r="G3024" s="90"/>
    </row>
    <row r="3025" spans="6:7" x14ac:dyDescent="0.3">
      <c r="F3025" s="90"/>
      <c r="G3025" s="90"/>
    </row>
    <row r="3026" spans="6:7" x14ac:dyDescent="0.3">
      <c r="F3026" s="90"/>
      <c r="G3026" s="90"/>
    </row>
    <row r="3027" spans="6:7" x14ac:dyDescent="0.3">
      <c r="F3027" s="90"/>
      <c r="G3027" s="90"/>
    </row>
    <row r="3028" spans="6:7" x14ac:dyDescent="0.3">
      <c r="F3028" s="90"/>
      <c r="G3028" s="90"/>
    </row>
    <row r="3029" spans="6:7" x14ac:dyDescent="0.3">
      <c r="F3029" s="90"/>
      <c r="G3029" s="90"/>
    </row>
    <row r="3030" spans="6:7" x14ac:dyDescent="0.3">
      <c r="F3030" s="90"/>
      <c r="G3030" s="90"/>
    </row>
    <row r="3031" spans="6:7" x14ac:dyDescent="0.3">
      <c r="F3031" s="90"/>
      <c r="G3031" s="90"/>
    </row>
    <row r="3032" spans="6:7" x14ac:dyDescent="0.3">
      <c r="F3032" s="90"/>
      <c r="G3032" s="90"/>
    </row>
    <row r="3033" spans="6:7" x14ac:dyDescent="0.3">
      <c r="F3033" s="90"/>
      <c r="G3033" s="90"/>
    </row>
    <row r="3034" spans="6:7" x14ac:dyDescent="0.3">
      <c r="F3034" s="90"/>
      <c r="G3034" s="90"/>
    </row>
    <row r="3035" spans="6:7" x14ac:dyDescent="0.3">
      <c r="F3035" s="90"/>
      <c r="G3035" s="90"/>
    </row>
    <row r="3036" spans="6:7" x14ac:dyDescent="0.3">
      <c r="F3036" s="90"/>
      <c r="G3036" s="90"/>
    </row>
    <row r="3037" spans="6:7" x14ac:dyDescent="0.3">
      <c r="F3037" s="90"/>
      <c r="G3037" s="90"/>
    </row>
    <row r="3038" spans="6:7" x14ac:dyDescent="0.3">
      <c r="F3038" s="90"/>
      <c r="G3038" s="90"/>
    </row>
    <row r="3039" spans="6:7" x14ac:dyDescent="0.3">
      <c r="F3039" s="90"/>
      <c r="G3039" s="90"/>
    </row>
    <row r="3040" spans="6:7" x14ac:dyDescent="0.3">
      <c r="F3040" s="90"/>
      <c r="G3040" s="90"/>
    </row>
    <row r="3041" spans="6:7" x14ac:dyDescent="0.3">
      <c r="F3041" s="90"/>
      <c r="G3041" s="90"/>
    </row>
    <row r="3042" spans="6:7" x14ac:dyDescent="0.3">
      <c r="F3042" s="90"/>
      <c r="G3042" s="90"/>
    </row>
    <row r="3043" spans="6:7" x14ac:dyDescent="0.3">
      <c r="F3043" s="90"/>
      <c r="G3043" s="90"/>
    </row>
    <row r="3044" spans="6:7" x14ac:dyDescent="0.3">
      <c r="F3044" s="90"/>
      <c r="G3044" s="90"/>
    </row>
    <row r="3045" spans="6:7" x14ac:dyDescent="0.3">
      <c r="F3045" s="90"/>
      <c r="G3045" s="90"/>
    </row>
    <row r="3046" spans="6:7" x14ac:dyDescent="0.3">
      <c r="F3046" s="90"/>
      <c r="G3046" s="90"/>
    </row>
    <row r="3047" spans="6:7" x14ac:dyDescent="0.3">
      <c r="F3047" s="90"/>
      <c r="G3047" s="90"/>
    </row>
    <row r="3048" spans="6:7" x14ac:dyDescent="0.3">
      <c r="F3048" s="90"/>
      <c r="G3048" s="90"/>
    </row>
    <row r="3049" spans="6:7" x14ac:dyDescent="0.3">
      <c r="F3049" s="90"/>
      <c r="G3049" s="90"/>
    </row>
    <row r="3050" spans="6:7" x14ac:dyDescent="0.3">
      <c r="F3050" s="90"/>
      <c r="G3050" s="90"/>
    </row>
    <row r="3051" spans="6:7" x14ac:dyDescent="0.3">
      <c r="F3051" s="90"/>
      <c r="G3051" s="90"/>
    </row>
    <row r="3052" spans="6:7" x14ac:dyDescent="0.3">
      <c r="F3052" s="90"/>
      <c r="G3052" s="90"/>
    </row>
    <row r="3053" spans="6:7" x14ac:dyDescent="0.3">
      <c r="F3053" s="90"/>
      <c r="G3053" s="90"/>
    </row>
    <row r="3054" spans="6:7" x14ac:dyDescent="0.3">
      <c r="F3054" s="90"/>
      <c r="G3054" s="90"/>
    </row>
    <row r="3055" spans="6:7" x14ac:dyDescent="0.3">
      <c r="F3055" s="90"/>
      <c r="G3055" s="90"/>
    </row>
    <row r="3056" spans="6:7" x14ac:dyDescent="0.3">
      <c r="F3056" s="90"/>
      <c r="G3056" s="90"/>
    </row>
    <row r="3057" spans="6:7" x14ac:dyDescent="0.3">
      <c r="F3057" s="90"/>
      <c r="G3057" s="90"/>
    </row>
    <row r="3058" spans="6:7" x14ac:dyDescent="0.3">
      <c r="F3058" s="90"/>
      <c r="G3058" s="90"/>
    </row>
    <row r="3059" spans="6:7" x14ac:dyDescent="0.3">
      <c r="F3059" s="90"/>
      <c r="G3059" s="90"/>
    </row>
    <row r="3060" spans="6:7" x14ac:dyDescent="0.3">
      <c r="F3060" s="90"/>
      <c r="G3060" s="90"/>
    </row>
    <row r="3061" spans="6:7" x14ac:dyDescent="0.3">
      <c r="F3061" s="90"/>
      <c r="G3061" s="90"/>
    </row>
    <row r="3062" spans="6:7" x14ac:dyDescent="0.3">
      <c r="F3062" s="90"/>
      <c r="G3062" s="90"/>
    </row>
    <row r="3063" spans="6:7" x14ac:dyDescent="0.3">
      <c r="F3063" s="90"/>
      <c r="G3063" s="90"/>
    </row>
    <row r="3064" spans="6:7" x14ac:dyDescent="0.3">
      <c r="F3064" s="90"/>
      <c r="G3064" s="90"/>
    </row>
    <row r="3065" spans="6:7" x14ac:dyDescent="0.3">
      <c r="F3065" s="90"/>
      <c r="G3065" s="90"/>
    </row>
    <row r="3066" spans="6:7" x14ac:dyDescent="0.3">
      <c r="F3066" s="90"/>
      <c r="G3066" s="90"/>
    </row>
    <row r="3067" spans="6:7" x14ac:dyDescent="0.3">
      <c r="F3067" s="90"/>
      <c r="G3067" s="90"/>
    </row>
    <row r="3068" spans="6:7" x14ac:dyDescent="0.3">
      <c r="F3068" s="90"/>
      <c r="G3068" s="90"/>
    </row>
    <row r="3069" spans="6:7" x14ac:dyDescent="0.3">
      <c r="F3069" s="90"/>
      <c r="G3069" s="90"/>
    </row>
    <row r="3070" spans="6:7" x14ac:dyDescent="0.3">
      <c r="F3070" s="90"/>
      <c r="G3070" s="90"/>
    </row>
    <row r="3071" spans="6:7" x14ac:dyDescent="0.3">
      <c r="F3071" s="90"/>
      <c r="G3071" s="90"/>
    </row>
    <row r="3072" spans="6:7" x14ac:dyDescent="0.3">
      <c r="F3072" s="90"/>
      <c r="G3072" s="90"/>
    </row>
    <row r="3073" spans="6:7" x14ac:dyDescent="0.3">
      <c r="F3073" s="90"/>
      <c r="G3073" s="90"/>
    </row>
    <row r="3074" spans="6:7" x14ac:dyDescent="0.3">
      <c r="F3074" s="90"/>
      <c r="G3074" s="90"/>
    </row>
    <row r="3075" spans="6:7" x14ac:dyDescent="0.3">
      <c r="F3075" s="90"/>
      <c r="G3075" s="90"/>
    </row>
    <row r="3076" spans="6:7" x14ac:dyDescent="0.3">
      <c r="F3076" s="90"/>
      <c r="G3076" s="90"/>
    </row>
    <row r="3077" spans="6:7" x14ac:dyDescent="0.3">
      <c r="F3077" s="90"/>
      <c r="G3077" s="90"/>
    </row>
    <row r="3078" spans="6:7" x14ac:dyDescent="0.3">
      <c r="F3078" s="90"/>
      <c r="G3078" s="90"/>
    </row>
    <row r="3079" spans="6:7" x14ac:dyDescent="0.3">
      <c r="F3079" s="90"/>
      <c r="G3079" s="90"/>
    </row>
    <row r="3080" spans="6:7" x14ac:dyDescent="0.3">
      <c r="F3080" s="90"/>
      <c r="G3080" s="90"/>
    </row>
    <row r="3081" spans="6:7" x14ac:dyDescent="0.3">
      <c r="F3081" s="90"/>
      <c r="G3081" s="90"/>
    </row>
    <row r="3082" spans="6:7" x14ac:dyDescent="0.3">
      <c r="F3082" s="90"/>
      <c r="G3082" s="90"/>
    </row>
    <row r="3083" spans="6:7" x14ac:dyDescent="0.3">
      <c r="F3083" s="90"/>
      <c r="G3083" s="90"/>
    </row>
    <row r="3084" spans="6:7" x14ac:dyDescent="0.3">
      <c r="F3084" s="90"/>
      <c r="G3084" s="90"/>
    </row>
    <row r="3085" spans="6:7" x14ac:dyDescent="0.3">
      <c r="F3085" s="90"/>
      <c r="G3085" s="90"/>
    </row>
    <row r="3086" spans="6:7" x14ac:dyDescent="0.3">
      <c r="F3086" s="90"/>
      <c r="G3086" s="90"/>
    </row>
    <row r="3087" spans="6:7" x14ac:dyDescent="0.3">
      <c r="F3087" s="90"/>
      <c r="G3087" s="90"/>
    </row>
    <row r="3088" spans="6:7" x14ac:dyDescent="0.3">
      <c r="F3088" s="90"/>
      <c r="G3088" s="90"/>
    </row>
    <row r="3089" spans="6:7" x14ac:dyDescent="0.3">
      <c r="F3089" s="90"/>
      <c r="G3089" s="90"/>
    </row>
    <row r="3090" spans="6:7" x14ac:dyDescent="0.3">
      <c r="F3090" s="90"/>
      <c r="G3090" s="90"/>
    </row>
    <row r="3091" spans="6:7" x14ac:dyDescent="0.3">
      <c r="F3091" s="90"/>
      <c r="G3091" s="90"/>
    </row>
    <row r="3092" spans="6:7" x14ac:dyDescent="0.3">
      <c r="F3092" s="90"/>
      <c r="G3092" s="90"/>
    </row>
    <row r="3093" spans="6:7" x14ac:dyDescent="0.3">
      <c r="F3093" s="90"/>
      <c r="G3093" s="90"/>
    </row>
    <row r="3094" spans="6:7" x14ac:dyDescent="0.3">
      <c r="F3094" s="90"/>
      <c r="G3094" s="90"/>
    </row>
    <row r="3095" spans="6:7" x14ac:dyDescent="0.3">
      <c r="F3095" s="90"/>
      <c r="G3095" s="90"/>
    </row>
    <row r="3096" spans="6:7" x14ac:dyDescent="0.3">
      <c r="F3096" s="90"/>
      <c r="G3096" s="90"/>
    </row>
    <row r="3097" spans="6:7" x14ac:dyDescent="0.3">
      <c r="F3097" s="90"/>
      <c r="G3097" s="90"/>
    </row>
    <row r="3098" spans="6:7" x14ac:dyDescent="0.3">
      <c r="F3098" s="90"/>
      <c r="G3098" s="90"/>
    </row>
    <row r="3099" spans="6:7" x14ac:dyDescent="0.3">
      <c r="F3099" s="90"/>
      <c r="G3099" s="90"/>
    </row>
    <row r="3100" spans="6:7" x14ac:dyDescent="0.3">
      <c r="F3100" s="90"/>
      <c r="G3100" s="90"/>
    </row>
    <row r="3101" spans="6:7" x14ac:dyDescent="0.3">
      <c r="F3101" s="90"/>
      <c r="G3101" s="90"/>
    </row>
    <row r="3102" spans="6:7" x14ac:dyDescent="0.3">
      <c r="F3102" s="90"/>
      <c r="G3102" s="90"/>
    </row>
    <row r="3103" spans="6:7" x14ac:dyDescent="0.3">
      <c r="F3103" s="90"/>
      <c r="G3103" s="90"/>
    </row>
    <row r="3104" spans="6:7" x14ac:dyDescent="0.3">
      <c r="F3104" s="90"/>
      <c r="G3104" s="90"/>
    </row>
    <row r="3105" spans="6:7" x14ac:dyDescent="0.3">
      <c r="F3105" s="90"/>
      <c r="G3105" s="90"/>
    </row>
    <row r="3106" spans="6:7" x14ac:dyDescent="0.3">
      <c r="F3106" s="90"/>
      <c r="G3106" s="90"/>
    </row>
    <row r="3107" spans="6:7" x14ac:dyDescent="0.3">
      <c r="F3107" s="90"/>
      <c r="G3107" s="90"/>
    </row>
    <row r="3108" spans="6:7" x14ac:dyDescent="0.3">
      <c r="F3108" s="90"/>
      <c r="G3108" s="90"/>
    </row>
    <row r="3109" spans="6:7" x14ac:dyDescent="0.3">
      <c r="F3109" s="90"/>
      <c r="G3109" s="90"/>
    </row>
    <row r="3110" spans="6:7" x14ac:dyDescent="0.3">
      <c r="F3110" s="90"/>
      <c r="G3110" s="90"/>
    </row>
    <row r="3111" spans="6:7" x14ac:dyDescent="0.3">
      <c r="F3111" s="90"/>
      <c r="G3111" s="90"/>
    </row>
    <row r="3112" spans="6:7" x14ac:dyDescent="0.3">
      <c r="F3112" s="90"/>
      <c r="G3112" s="90"/>
    </row>
    <row r="3113" spans="6:7" x14ac:dyDescent="0.3">
      <c r="F3113" s="90"/>
      <c r="G3113" s="90"/>
    </row>
    <row r="3114" spans="6:7" x14ac:dyDescent="0.3">
      <c r="F3114" s="90"/>
      <c r="G3114" s="90"/>
    </row>
    <row r="3115" spans="6:7" x14ac:dyDescent="0.3">
      <c r="F3115" s="90"/>
      <c r="G3115" s="90"/>
    </row>
    <row r="3116" spans="6:7" x14ac:dyDescent="0.3">
      <c r="F3116" s="90"/>
      <c r="G3116" s="90"/>
    </row>
    <row r="3117" spans="6:7" x14ac:dyDescent="0.3">
      <c r="F3117" s="90"/>
      <c r="G3117" s="90"/>
    </row>
    <row r="3118" spans="6:7" x14ac:dyDescent="0.3">
      <c r="F3118" s="90"/>
      <c r="G3118" s="90"/>
    </row>
    <row r="3119" spans="6:7" x14ac:dyDescent="0.3">
      <c r="F3119" s="90"/>
      <c r="G3119" s="90"/>
    </row>
    <row r="3120" spans="6:7" x14ac:dyDescent="0.3">
      <c r="F3120" s="90"/>
      <c r="G3120" s="90"/>
    </row>
    <row r="3121" spans="6:7" x14ac:dyDescent="0.3">
      <c r="F3121" s="90"/>
      <c r="G3121" s="90"/>
    </row>
    <row r="3122" spans="6:7" x14ac:dyDescent="0.3">
      <c r="F3122" s="90"/>
      <c r="G3122" s="90"/>
    </row>
    <row r="3123" spans="6:7" x14ac:dyDescent="0.3">
      <c r="F3123" s="90"/>
      <c r="G3123" s="90"/>
    </row>
    <row r="3124" spans="6:7" x14ac:dyDescent="0.3">
      <c r="F3124" s="90"/>
      <c r="G3124" s="90"/>
    </row>
    <row r="3125" spans="6:7" x14ac:dyDescent="0.3">
      <c r="F3125" s="90"/>
      <c r="G3125" s="90"/>
    </row>
    <row r="3126" spans="6:7" x14ac:dyDescent="0.3">
      <c r="F3126" s="90"/>
      <c r="G3126" s="90"/>
    </row>
    <row r="3127" spans="6:7" x14ac:dyDescent="0.3">
      <c r="F3127" s="90"/>
      <c r="G3127" s="90"/>
    </row>
    <row r="3128" spans="6:7" x14ac:dyDescent="0.3">
      <c r="F3128" s="90"/>
      <c r="G3128" s="90"/>
    </row>
    <row r="3129" spans="6:7" x14ac:dyDescent="0.3">
      <c r="F3129" s="90"/>
      <c r="G3129" s="90"/>
    </row>
    <row r="3130" spans="6:7" x14ac:dyDescent="0.3">
      <c r="F3130" s="90"/>
      <c r="G3130" s="90"/>
    </row>
    <row r="3131" spans="6:7" x14ac:dyDescent="0.3">
      <c r="F3131" s="90"/>
      <c r="G3131" s="90"/>
    </row>
    <row r="3132" spans="6:7" x14ac:dyDescent="0.3">
      <c r="F3132" s="90"/>
      <c r="G3132" s="90"/>
    </row>
    <row r="3133" spans="6:7" x14ac:dyDescent="0.3">
      <c r="F3133" s="90"/>
      <c r="G3133" s="90"/>
    </row>
    <row r="3134" spans="6:7" x14ac:dyDescent="0.3">
      <c r="F3134" s="90"/>
      <c r="G3134" s="90"/>
    </row>
    <row r="3135" spans="6:7" x14ac:dyDescent="0.3">
      <c r="F3135" s="90"/>
      <c r="G3135" s="90"/>
    </row>
    <row r="3136" spans="6:7" x14ac:dyDescent="0.3">
      <c r="F3136" s="90"/>
      <c r="G3136" s="90"/>
    </row>
    <row r="3137" spans="6:7" x14ac:dyDescent="0.3">
      <c r="F3137" s="90"/>
      <c r="G3137" s="90"/>
    </row>
    <row r="3138" spans="6:7" x14ac:dyDescent="0.3">
      <c r="F3138" s="90"/>
      <c r="G3138" s="90"/>
    </row>
    <row r="3139" spans="6:7" x14ac:dyDescent="0.3">
      <c r="F3139" s="90"/>
      <c r="G3139" s="90"/>
    </row>
    <row r="3140" spans="6:7" x14ac:dyDescent="0.3">
      <c r="F3140" s="90"/>
      <c r="G3140" s="90"/>
    </row>
    <row r="3141" spans="6:7" x14ac:dyDescent="0.3">
      <c r="F3141" s="90"/>
      <c r="G3141" s="90"/>
    </row>
    <row r="3142" spans="6:7" x14ac:dyDescent="0.3">
      <c r="F3142" s="90"/>
      <c r="G3142" s="90"/>
    </row>
    <row r="3143" spans="6:7" x14ac:dyDescent="0.3">
      <c r="F3143" s="90"/>
      <c r="G3143" s="90"/>
    </row>
    <row r="3144" spans="6:7" x14ac:dyDescent="0.3">
      <c r="F3144" s="90"/>
      <c r="G3144" s="90"/>
    </row>
    <row r="3145" spans="6:7" x14ac:dyDescent="0.3">
      <c r="F3145" s="90"/>
      <c r="G3145" s="90"/>
    </row>
    <row r="3146" spans="6:7" x14ac:dyDescent="0.3">
      <c r="F3146" s="90"/>
      <c r="G3146" s="90"/>
    </row>
    <row r="3147" spans="6:7" x14ac:dyDescent="0.3">
      <c r="F3147" s="90"/>
      <c r="G3147" s="90"/>
    </row>
    <row r="3148" spans="6:7" x14ac:dyDescent="0.3">
      <c r="F3148" s="90"/>
      <c r="G3148" s="90"/>
    </row>
    <row r="3149" spans="6:7" x14ac:dyDescent="0.3">
      <c r="F3149" s="90"/>
      <c r="G3149" s="90"/>
    </row>
    <row r="3150" spans="6:7" x14ac:dyDescent="0.3">
      <c r="F3150" s="90"/>
      <c r="G3150" s="90"/>
    </row>
    <row r="3151" spans="6:7" x14ac:dyDescent="0.3">
      <c r="F3151" s="90"/>
      <c r="G3151" s="90"/>
    </row>
    <row r="3152" spans="6:7" x14ac:dyDescent="0.3">
      <c r="F3152" s="90"/>
      <c r="G3152" s="90"/>
    </row>
    <row r="3153" spans="6:7" x14ac:dyDescent="0.3">
      <c r="F3153" s="90"/>
      <c r="G3153" s="90"/>
    </row>
    <row r="3154" spans="6:7" x14ac:dyDescent="0.3">
      <c r="F3154" s="90"/>
      <c r="G3154" s="90"/>
    </row>
    <row r="3155" spans="6:7" x14ac:dyDescent="0.3">
      <c r="F3155" s="90"/>
      <c r="G3155" s="90"/>
    </row>
    <row r="3156" spans="6:7" x14ac:dyDescent="0.3">
      <c r="F3156" s="90"/>
      <c r="G3156" s="90"/>
    </row>
    <row r="3157" spans="6:7" x14ac:dyDescent="0.3">
      <c r="F3157" s="90"/>
      <c r="G3157" s="90"/>
    </row>
    <row r="3158" spans="6:7" x14ac:dyDescent="0.3">
      <c r="F3158" s="90"/>
      <c r="G3158" s="90"/>
    </row>
    <row r="3159" spans="6:7" x14ac:dyDescent="0.3">
      <c r="F3159" s="90"/>
      <c r="G3159" s="90"/>
    </row>
    <row r="3160" spans="6:7" x14ac:dyDescent="0.3">
      <c r="F3160" s="90"/>
      <c r="G3160" s="90"/>
    </row>
    <row r="3161" spans="6:7" x14ac:dyDescent="0.3">
      <c r="F3161" s="90"/>
      <c r="G3161" s="90"/>
    </row>
    <row r="3162" spans="6:7" x14ac:dyDescent="0.3">
      <c r="F3162" s="90"/>
      <c r="G3162" s="90"/>
    </row>
    <row r="3163" spans="6:7" x14ac:dyDescent="0.3">
      <c r="F3163" s="90"/>
      <c r="G3163" s="90"/>
    </row>
    <row r="3164" spans="6:7" x14ac:dyDescent="0.3">
      <c r="F3164" s="90"/>
      <c r="G3164" s="90"/>
    </row>
    <row r="3165" spans="6:7" x14ac:dyDescent="0.3">
      <c r="F3165" s="90"/>
      <c r="G3165" s="90"/>
    </row>
    <row r="3166" spans="6:7" x14ac:dyDescent="0.3">
      <c r="F3166" s="90"/>
      <c r="G3166" s="90"/>
    </row>
    <row r="3167" spans="6:7" x14ac:dyDescent="0.3">
      <c r="F3167" s="90"/>
      <c r="G3167" s="90"/>
    </row>
    <row r="3168" spans="6:7" x14ac:dyDescent="0.3">
      <c r="F3168" s="90"/>
      <c r="G3168" s="90"/>
    </row>
    <row r="3169" spans="6:7" x14ac:dyDescent="0.3">
      <c r="F3169" s="90"/>
      <c r="G3169" s="90"/>
    </row>
    <row r="3170" spans="6:7" x14ac:dyDescent="0.3">
      <c r="F3170" s="90"/>
      <c r="G3170" s="90"/>
    </row>
    <row r="3171" spans="6:7" x14ac:dyDescent="0.3">
      <c r="F3171" s="90"/>
      <c r="G3171" s="90"/>
    </row>
    <row r="3172" spans="6:7" x14ac:dyDescent="0.3">
      <c r="F3172" s="90"/>
      <c r="G3172" s="90"/>
    </row>
    <row r="3173" spans="6:7" x14ac:dyDescent="0.3">
      <c r="F3173" s="90"/>
      <c r="G3173" s="90"/>
    </row>
    <row r="3174" spans="6:7" x14ac:dyDescent="0.3">
      <c r="F3174" s="90"/>
      <c r="G3174" s="90"/>
    </row>
    <row r="3175" spans="6:7" x14ac:dyDescent="0.3">
      <c r="F3175" s="90"/>
      <c r="G3175" s="90"/>
    </row>
    <row r="3176" spans="6:7" x14ac:dyDescent="0.3">
      <c r="F3176" s="90"/>
      <c r="G3176" s="90"/>
    </row>
    <row r="3177" spans="6:7" x14ac:dyDescent="0.3">
      <c r="F3177" s="90"/>
      <c r="G3177" s="90"/>
    </row>
    <row r="3178" spans="6:7" x14ac:dyDescent="0.3">
      <c r="F3178" s="90"/>
      <c r="G3178" s="90"/>
    </row>
    <row r="3179" spans="6:7" x14ac:dyDescent="0.3">
      <c r="F3179" s="90"/>
      <c r="G3179" s="90"/>
    </row>
    <row r="3180" spans="6:7" x14ac:dyDescent="0.3">
      <c r="F3180" s="90"/>
      <c r="G3180" s="90"/>
    </row>
    <row r="3181" spans="6:7" x14ac:dyDescent="0.3">
      <c r="F3181" s="90"/>
      <c r="G3181" s="90"/>
    </row>
    <row r="3182" spans="6:7" x14ac:dyDescent="0.3">
      <c r="F3182" s="90"/>
      <c r="G3182" s="90"/>
    </row>
    <row r="3183" spans="6:7" x14ac:dyDescent="0.3">
      <c r="F3183" s="90"/>
      <c r="G3183" s="90"/>
    </row>
    <row r="3184" spans="6:7" x14ac:dyDescent="0.3">
      <c r="F3184" s="90"/>
      <c r="G3184" s="90"/>
    </row>
    <row r="3185" spans="6:7" x14ac:dyDescent="0.3">
      <c r="F3185" s="90"/>
      <c r="G3185" s="90"/>
    </row>
    <row r="3186" spans="6:7" x14ac:dyDescent="0.3">
      <c r="F3186" s="90"/>
      <c r="G3186" s="90"/>
    </row>
    <row r="3187" spans="6:7" x14ac:dyDescent="0.3">
      <c r="F3187" s="90"/>
      <c r="G3187" s="90"/>
    </row>
    <row r="3188" spans="6:7" x14ac:dyDescent="0.3">
      <c r="F3188" s="90"/>
      <c r="G3188" s="90"/>
    </row>
    <row r="3189" spans="6:7" x14ac:dyDescent="0.3">
      <c r="F3189" s="90"/>
      <c r="G3189" s="90"/>
    </row>
    <row r="3190" spans="6:7" x14ac:dyDescent="0.3">
      <c r="F3190" s="90"/>
      <c r="G3190" s="90"/>
    </row>
    <row r="3191" spans="6:7" x14ac:dyDescent="0.3">
      <c r="F3191" s="90"/>
      <c r="G3191" s="90"/>
    </row>
    <row r="3192" spans="6:7" x14ac:dyDescent="0.3">
      <c r="F3192" s="90"/>
      <c r="G3192" s="90"/>
    </row>
    <row r="3193" spans="6:7" x14ac:dyDescent="0.3">
      <c r="F3193" s="90"/>
      <c r="G3193" s="90"/>
    </row>
    <row r="3194" spans="6:7" x14ac:dyDescent="0.3">
      <c r="F3194" s="90"/>
      <c r="G3194" s="90"/>
    </row>
    <row r="3195" spans="6:7" x14ac:dyDescent="0.3">
      <c r="F3195" s="90"/>
      <c r="G3195" s="90"/>
    </row>
    <row r="3196" spans="6:7" x14ac:dyDescent="0.3">
      <c r="F3196" s="90"/>
      <c r="G3196" s="90"/>
    </row>
    <row r="3197" spans="6:7" x14ac:dyDescent="0.3">
      <c r="F3197" s="90"/>
      <c r="G3197" s="90"/>
    </row>
    <row r="3198" spans="6:7" x14ac:dyDescent="0.3">
      <c r="F3198" s="90"/>
      <c r="G3198" s="90"/>
    </row>
    <row r="3199" spans="6:7" x14ac:dyDescent="0.3">
      <c r="F3199" s="90"/>
      <c r="G3199" s="90"/>
    </row>
    <row r="3200" spans="6:7" x14ac:dyDescent="0.3">
      <c r="F3200" s="90"/>
      <c r="G3200" s="90"/>
    </row>
    <row r="3201" spans="6:7" x14ac:dyDescent="0.3">
      <c r="F3201" s="90"/>
      <c r="G3201" s="90"/>
    </row>
    <row r="3202" spans="6:7" x14ac:dyDescent="0.3">
      <c r="F3202" s="90"/>
      <c r="G3202" s="90"/>
    </row>
    <row r="3203" spans="6:7" x14ac:dyDescent="0.3">
      <c r="F3203" s="90"/>
      <c r="G3203" s="90"/>
    </row>
    <row r="3204" spans="6:7" x14ac:dyDescent="0.3">
      <c r="F3204" s="90"/>
      <c r="G3204" s="90"/>
    </row>
    <row r="3205" spans="6:7" x14ac:dyDescent="0.3">
      <c r="F3205" s="90"/>
      <c r="G3205" s="90"/>
    </row>
    <row r="3206" spans="6:7" x14ac:dyDescent="0.3">
      <c r="F3206" s="90"/>
      <c r="G3206" s="90"/>
    </row>
    <row r="3207" spans="6:7" x14ac:dyDescent="0.3">
      <c r="F3207" s="90"/>
      <c r="G3207" s="90"/>
    </row>
    <row r="3208" spans="6:7" x14ac:dyDescent="0.3">
      <c r="F3208" s="90"/>
      <c r="G3208" s="90"/>
    </row>
    <row r="3209" spans="6:7" x14ac:dyDescent="0.3">
      <c r="F3209" s="90"/>
      <c r="G3209" s="90"/>
    </row>
    <row r="3210" spans="6:7" x14ac:dyDescent="0.3">
      <c r="F3210" s="90"/>
      <c r="G3210" s="90"/>
    </row>
    <row r="3211" spans="6:7" x14ac:dyDescent="0.3">
      <c r="F3211" s="90"/>
      <c r="G3211" s="90"/>
    </row>
    <row r="3212" spans="6:7" x14ac:dyDescent="0.3">
      <c r="F3212" s="90"/>
      <c r="G3212" s="90"/>
    </row>
    <row r="3213" spans="6:7" x14ac:dyDescent="0.3">
      <c r="F3213" s="90"/>
      <c r="G3213" s="90"/>
    </row>
    <row r="3214" spans="6:7" x14ac:dyDescent="0.3">
      <c r="F3214" s="90"/>
      <c r="G3214" s="90"/>
    </row>
    <row r="3215" spans="6:7" x14ac:dyDescent="0.3">
      <c r="F3215" s="90"/>
      <c r="G3215" s="90"/>
    </row>
    <row r="3216" spans="6:7" x14ac:dyDescent="0.3">
      <c r="F3216" s="90"/>
      <c r="G3216" s="90"/>
    </row>
    <row r="3217" spans="6:7" x14ac:dyDescent="0.3">
      <c r="F3217" s="90"/>
      <c r="G3217" s="90"/>
    </row>
    <row r="3218" spans="6:7" x14ac:dyDescent="0.3">
      <c r="F3218" s="90"/>
      <c r="G3218" s="90"/>
    </row>
    <row r="3219" spans="6:7" x14ac:dyDescent="0.3">
      <c r="F3219" s="90"/>
      <c r="G3219" s="90"/>
    </row>
    <row r="3220" spans="6:7" x14ac:dyDescent="0.3">
      <c r="F3220" s="90"/>
      <c r="G3220" s="90"/>
    </row>
    <row r="3221" spans="6:7" x14ac:dyDescent="0.3">
      <c r="F3221" s="90"/>
      <c r="G3221" s="90"/>
    </row>
    <row r="3222" spans="6:7" x14ac:dyDescent="0.3">
      <c r="F3222" s="90"/>
      <c r="G3222" s="90"/>
    </row>
    <row r="3223" spans="6:7" x14ac:dyDescent="0.3">
      <c r="F3223" s="90"/>
      <c r="G3223" s="90"/>
    </row>
    <row r="3224" spans="6:7" x14ac:dyDescent="0.3">
      <c r="F3224" s="90"/>
      <c r="G3224" s="90"/>
    </row>
    <row r="3225" spans="6:7" x14ac:dyDescent="0.3">
      <c r="F3225" s="90"/>
      <c r="G3225" s="90"/>
    </row>
    <row r="3226" spans="6:7" x14ac:dyDescent="0.3">
      <c r="F3226" s="90"/>
      <c r="G3226" s="90"/>
    </row>
    <row r="3227" spans="6:7" x14ac:dyDescent="0.3">
      <c r="F3227" s="90"/>
      <c r="G3227" s="90"/>
    </row>
    <row r="3228" spans="6:7" x14ac:dyDescent="0.3">
      <c r="F3228" s="90"/>
      <c r="G3228" s="90"/>
    </row>
    <row r="3229" spans="6:7" x14ac:dyDescent="0.3">
      <c r="F3229" s="90"/>
      <c r="G3229" s="90"/>
    </row>
    <row r="3230" spans="6:7" x14ac:dyDescent="0.3">
      <c r="F3230" s="90"/>
      <c r="G3230" s="90"/>
    </row>
    <row r="3231" spans="6:7" x14ac:dyDescent="0.3">
      <c r="F3231" s="90"/>
      <c r="G3231" s="90"/>
    </row>
    <row r="3232" spans="6:7" x14ac:dyDescent="0.3">
      <c r="F3232" s="90"/>
      <c r="G3232" s="90"/>
    </row>
    <row r="3233" spans="6:7" x14ac:dyDescent="0.3">
      <c r="F3233" s="90"/>
      <c r="G3233" s="90"/>
    </row>
    <row r="3234" spans="6:7" x14ac:dyDescent="0.3">
      <c r="F3234" s="90"/>
      <c r="G3234" s="90"/>
    </row>
    <row r="3235" spans="6:7" x14ac:dyDescent="0.3">
      <c r="F3235" s="90"/>
      <c r="G3235" s="90"/>
    </row>
    <row r="3236" spans="6:7" x14ac:dyDescent="0.3">
      <c r="F3236" s="90"/>
      <c r="G3236" s="90"/>
    </row>
    <row r="3237" spans="6:7" x14ac:dyDescent="0.3">
      <c r="F3237" s="90"/>
      <c r="G3237" s="90"/>
    </row>
    <row r="3238" spans="6:7" x14ac:dyDescent="0.3">
      <c r="F3238" s="90"/>
      <c r="G3238" s="90"/>
    </row>
    <row r="3239" spans="6:7" x14ac:dyDescent="0.3">
      <c r="F3239" s="90"/>
      <c r="G3239" s="90"/>
    </row>
    <row r="3240" spans="6:7" x14ac:dyDescent="0.3">
      <c r="F3240" s="90"/>
      <c r="G3240" s="90"/>
    </row>
    <row r="3241" spans="6:7" x14ac:dyDescent="0.3">
      <c r="F3241" s="90"/>
      <c r="G3241" s="90"/>
    </row>
    <row r="3242" spans="6:7" x14ac:dyDescent="0.3">
      <c r="F3242" s="90"/>
      <c r="G3242" s="90"/>
    </row>
    <row r="3243" spans="6:7" x14ac:dyDescent="0.3">
      <c r="F3243" s="90"/>
      <c r="G3243" s="90"/>
    </row>
    <row r="3244" spans="6:7" x14ac:dyDescent="0.3">
      <c r="F3244" s="90"/>
      <c r="G3244" s="90"/>
    </row>
    <row r="3245" spans="6:7" x14ac:dyDescent="0.3">
      <c r="F3245" s="90"/>
      <c r="G3245" s="90"/>
    </row>
    <row r="3246" spans="6:7" x14ac:dyDescent="0.3">
      <c r="F3246" s="90"/>
      <c r="G3246" s="90"/>
    </row>
    <row r="3247" spans="6:7" x14ac:dyDescent="0.3">
      <c r="F3247" s="90"/>
      <c r="G3247" s="90"/>
    </row>
    <row r="3248" spans="6:7" x14ac:dyDescent="0.3">
      <c r="F3248" s="90"/>
      <c r="G3248" s="90"/>
    </row>
    <row r="3249" spans="6:7" x14ac:dyDescent="0.3">
      <c r="F3249" s="90"/>
      <c r="G3249" s="90"/>
    </row>
    <row r="3250" spans="6:7" x14ac:dyDescent="0.3">
      <c r="F3250" s="90"/>
      <c r="G3250" s="90"/>
    </row>
    <row r="3251" spans="6:7" x14ac:dyDescent="0.3">
      <c r="F3251" s="90"/>
      <c r="G3251" s="90"/>
    </row>
    <row r="3252" spans="6:7" x14ac:dyDescent="0.3">
      <c r="F3252" s="90"/>
      <c r="G3252" s="90"/>
    </row>
    <row r="3253" spans="6:7" x14ac:dyDescent="0.3">
      <c r="F3253" s="90"/>
      <c r="G3253" s="90"/>
    </row>
    <row r="3254" spans="6:7" x14ac:dyDescent="0.3">
      <c r="F3254" s="90"/>
      <c r="G3254" s="90"/>
    </row>
    <row r="3255" spans="6:7" x14ac:dyDescent="0.3">
      <c r="F3255" s="90"/>
      <c r="G3255" s="90"/>
    </row>
    <row r="3256" spans="6:7" x14ac:dyDescent="0.3">
      <c r="F3256" s="90"/>
      <c r="G3256" s="90"/>
    </row>
    <row r="3257" spans="6:7" x14ac:dyDescent="0.3">
      <c r="F3257" s="90"/>
      <c r="G3257" s="90"/>
    </row>
    <row r="3258" spans="6:7" x14ac:dyDescent="0.3">
      <c r="F3258" s="90"/>
      <c r="G3258" s="90"/>
    </row>
    <row r="3259" spans="6:7" x14ac:dyDescent="0.3">
      <c r="F3259" s="90"/>
      <c r="G3259" s="90"/>
    </row>
    <row r="3260" spans="6:7" x14ac:dyDescent="0.3">
      <c r="F3260" s="90"/>
      <c r="G3260" s="90"/>
    </row>
    <row r="3261" spans="6:7" x14ac:dyDescent="0.3">
      <c r="F3261" s="90"/>
      <c r="G3261" s="90"/>
    </row>
    <row r="3262" spans="6:7" x14ac:dyDescent="0.3">
      <c r="F3262" s="90"/>
      <c r="G3262" s="90"/>
    </row>
    <row r="3263" spans="6:7" x14ac:dyDescent="0.3">
      <c r="F3263" s="90"/>
      <c r="G3263" s="90"/>
    </row>
    <row r="3264" spans="6:7" x14ac:dyDescent="0.3">
      <c r="F3264" s="90"/>
      <c r="G3264" s="90"/>
    </row>
    <row r="3265" spans="6:7" x14ac:dyDescent="0.3">
      <c r="F3265" s="90"/>
      <c r="G3265" s="90"/>
    </row>
    <row r="3266" spans="6:7" x14ac:dyDescent="0.3">
      <c r="F3266" s="90"/>
      <c r="G3266" s="90"/>
    </row>
    <row r="3267" spans="6:7" x14ac:dyDescent="0.3">
      <c r="F3267" s="90"/>
      <c r="G3267" s="90"/>
    </row>
    <row r="3268" spans="6:7" x14ac:dyDescent="0.3">
      <c r="F3268" s="90"/>
      <c r="G3268" s="90"/>
    </row>
    <row r="3269" spans="6:7" x14ac:dyDescent="0.3">
      <c r="F3269" s="90"/>
      <c r="G3269" s="90"/>
    </row>
    <row r="3270" spans="6:7" x14ac:dyDescent="0.3">
      <c r="F3270" s="90"/>
      <c r="G3270" s="90"/>
    </row>
    <row r="3271" spans="6:7" x14ac:dyDescent="0.3">
      <c r="F3271" s="90"/>
      <c r="G3271" s="90"/>
    </row>
    <row r="3272" spans="6:7" x14ac:dyDescent="0.3">
      <c r="F3272" s="90"/>
      <c r="G3272" s="90"/>
    </row>
    <row r="3273" spans="6:7" x14ac:dyDescent="0.3">
      <c r="F3273" s="90"/>
      <c r="G3273" s="90"/>
    </row>
    <row r="3274" spans="6:7" x14ac:dyDescent="0.3">
      <c r="F3274" s="90"/>
      <c r="G3274" s="90"/>
    </row>
    <row r="3275" spans="6:7" x14ac:dyDescent="0.3">
      <c r="F3275" s="90"/>
      <c r="G3275" s="90"/>
    </row>
    <row r="3276" spans="6:7" x14ac:dyDescent="0.3">
      <c r="F3276" s="90"/>
      <c r="G3276" s="90"/>
    </row>
    <row r="3277" spans="6:7" x14ac:dyDescent="0.3">
      <c r="F3277" s="90"/>
      <c r="G3277" s="90"/>
    </row>
    <row r="3278" spans="6:7" x14ac:dyDescent="0.3">
      <c r="F3278" s="90"/>
      <c r="G3278" s="90"/>
    </row>
    <row r="3279" spans="6:7" x14ac:dyDescent="0.3">
      <c r="F3279" s="90"/>
      <c r="G3279" s="90"/>
    </row>
    <row r="3280" spans="6:7" x14ac:dyDescent="0.3">
      <c r="F3280" s="90"/>
      <c r="G3280" s="90"/>
    </row>
    <row r="3281" spans="6:7" x14ac:dyDescent="0.3">
      <c r="F3281" s="90"/>
      <c r="G3281" s="90"/>
    </row>
    <row r="3282" spans="6:7" x14ac:dyDescent="0.3">
      <c r="F3282" s="90"/>
      <c r="G3282" s="90"/>
    </row>
    <row r="3283" spans="6:7" x14ac:dyDescent="0.3">
      <c r="F3283" s="90"/>
      <c r="G3283" s="90"/>
    </row>
    <row r="3284" spans="6:7" x14ac:dyDescent="0.3">
      <c r="F3284" s="90"/>
      <c r="G3284" s="90"/>
    </row>
    <row r="3285" spans="6:7" x14ac:dyDescent="0.3">
      <c r="F3285" s="90"/>
      <c r="G3285" s="90"/>
    </row>
    <row r="3286" spans="6:7" x14ac:dyDescent="0.3">
      <c r="F3286" s="90"/>
      <c r="G3286" s="90"/>
    </row>
    <row r="3287" spans="6:7" x14ac:dyDescent="0.3">
      <c r="F3287" s="90"/>
      <c r="G3287" s="90"/>
    </row>
    <row r="3288" spans="6:7" x14ac:dyDescent="0.3">
      <c r="F3288" s="90"/>
      <c r="G3288" s="90"/>
    </row>
    <row r="3289" spans="6:7" x14ac:dyDescent="0.3">
      <c r="F3289" s="90"/>
      <c r="G3289" s="90"/>
    </row>
    <row r="3290" spans="6:7" x14ac:dyDescent="0.3">
      <c r="F3290" s="90"/>
      <c r="G3290" s="90"/>
    </row>
    <row r="3291" spans="6:7" x14ac:dyDescent="0.3">
      <c r="F3291" s="90"/>
      <c r="G3291" s="90"/>
    </row>
    <row r="3292" spans="6:7" x14ac:dyDescent="0.3">
      <c r="F3292" s="90"/>
      <c r="G3292" s="90"/>
    </row>
    <row r="3293" spans="6:7" x14ac:dyDescent="0.3">
      <c r="F3293" s="90"/>
      <c r="G3293" s="90"/>
    </row>
    <row r="3294" spans="6:7" x14ac:dyDescent="0.3">
      <c r="F3294" s="90"/>
      <c r="G3294" s="90"/>
    </row>
    <row r="3295" spans="6:7" x14ac:dyDescent="0.3">
      <c r="F3295" s="90"/>
      <c r="G3295" s="90"/>
    </row>
    <row r="3296" spans="6:7" x14ac:dyDescent="0.3">
      <c r="F3296" s="90"/>
      <c r="G3296" s="90"/>
    </row>
    <row r="3297" spans="6:7" x14ac:dyDescent="0.3">
      <c r="F3297" s="90"/>
      <c r="G3297" s="90"/>
    </row>
    <row r="3298" spans="6:7" x14ac:dyDescent="0.3">
      <c r="F3298" s="90"/>
      <c r="G3298" s="90"/>
    </row>
    <row r="3299" spans="6:7" x14ac:dyDescent="0.3">
      <c r="F3299" s="90"/>
      <c r="G3299" s="90"/>
    </row>
    <row r="3300" spans="6:7" x14ac:dyDescent="0.3">
      <c r="F3300" s="90"/>
      <c r="G3300" s="90"/>
    </row>
    <row r="3301" spans="6:7" x14ac:dyDescent="0.3">
      <c r="F3301" s="90"/>
      <c r="G3301" s="90"/>
    </row>
    <row r="3302" spans="6:7" x14ac:dyDescent="0.3">
      <c r="F3302" s="90"/>
      <c r="G3302" s="90"/>
    </row>
    <row r="3303" spans="6:7" x14ac:dyDescent="0.3">
      <c r="F3303" s="90"/>
      <c r="G3303" s="90"/>
    </row>
    <row r="3304" spans="6:7" x14ac:dyDescent="0.3">
      <c r="F3304" s="90"/>
      <c r="G3304" s="90"/>
    </row>
    <row r="3305" spans="6:7" x14ac:dyDescent="0.3">
      <c r="F3305" s="90"/>
      <c r="G3305" s="90"/>
    </row>
    <row r="3306" spans="6:7" x14ac:dyDescent="0.3">
      <c r="F3306" s="90"/>
      <c r="G3306" s="90"/>
    </row>
    <row r="3307" spans="6:7" x14ac:dyDescent="0.3">
      <c r="F3307" s="90"/>
      <c r="G3307" s="90"/>
    </row>
    <row r="3308" spans="6:7" x14ac:dyDescent="0.3">
      <c r="F3308" s="90"/>
      <c r="G3308" s="90"/>
    </row>
    <row r="3309" spans="6:7" x14ac:dyDescent="0.3">
      <c r="F3309" s="90"/>
      <c r="G3309" s="90"/>
    </row>
    <row r="3310" spans="6:7" x14ac:dyDescent="0.3">
      <c r="F3310" s="90"/>
      <c r="G3310" s="90"/>
    </row>
    <row r="3311" spans="6:7" x14ac:dyDescent="0.3">
      <c r="F3311" s="90"/>
      <c r="G3311" s="90"/>
    </row>
    <row r="3312" spans="6:7" x14ac:dyDescent="0.3">
      <c r="F3312" s="90"/>
      <c r="G3312" s="90"/>
    </row>
    <row r="3313" spans="6:7" x14ac:dyDescent="0.3">
      <c r="F3313" s="90"/>
      <c r="G3313" s="90"/>
    </row>
    <row r="3314" spans="6:7" x14ac:dyDescent="0.3">
      <c r="F3314" s="90"/>
      <c r="G3314" s="90"/>
    </row>
    <row r="3315" spans="6:7" x14ac:dyDescent="0.3">
      <c r="F3315" s="90"/>
      <c r="G3315" s="90"/>
    </row>
    <row r="3316" spans="6:7" x14ac:dyDescent="0.3">
      <c r="F3316" s="90"/>
      <c r="G3316" s="90"/>
    </row>
    <row r="3317" spans="6:7" x14ac:dyDescent="0.3">
      <c r="F3317" s="90"/>
      <c r="G3317" s="90"/>
    </row>
    <row r="3318" spans="6:7" x14ac:dyDescent="0.3">
      <c r="F3318" s="90"/>
      <c r="G3318" s="90"/>
    </row>
    <row r="3319" spans="6:7" x14ac:dyDescent="0.3">
      <c r="F3319" s="90"/>
      <c r="G3319" s="90"/>
    </row>
    <row r="3320" spans="6:7" x14ac:dyDescent="0.3">
      <c r="F3320" s="90"/>
      <c r="G3320" s="90"/>
    </row>
    <row r="3321" spans="6:7" x14ac:dyDescent="0.3">
      <c r="F3321" s="90"/>
      <c r="G3321" s="90"/>
    </row>
    <row r="3322" spans="6:7" x14ac:dyDescent="0.3">
      <c r="F3322" s="90"/>
      <c r="G3322" s="90"/>
    </row>
    <row r="3323" spans="6:7" x14ac:dyDescent="0.3">
      <c r="F3323" s="90"/>
      <c r="G3323" s="90"/>
    </row>
    <row r="3324" spans="6:7" x14ac:dyDescent="0.3">
      <c r="F3324" s="90"/>
      <c r="G3324" s="90"/>
    </row>
    <row r="3325" spans="6:7" x14ac:dyDescent="0.3">
      <c r="F3325" s="90"/>
      <c r="G3325" s="90"/>
    </row>
    <row r="3326" spans="6:7" x14ac:dyDescent="0.3">
      <c r="F3326" s="90"/>
      <c r="G3326" s="90"/>
    </row>
    <row r="3327" spans="6:7" x14ac:dyDescent="0.3">
      <c r="F3327" s="90"/>
      <c r="G3327" s="90"/>
    </row>
    <row r="3328" spans="6:7" x14ac:dyDescent="0.3">
      <c r="F3328" s="90"/>
      <c r="G3328" s="90"/>
    </row>
    <row r="3329" spans="6:7" x14ac:dyDescent="0.3">
      <c r="F3329" s="90"/>
      <c r="G3329" s="90"/>
    </row>
    <row r="3330" spans="6:7" x14ac:dyDescent="0.3">
      <c r="F3330" s="90"/>
      <c r="G3330" s="90"/>
    </row>
    <row r="3331" spans="6:7" x14ac:dyDescent="0.3">
      <c r="F3331" s="90"/>
      <c r="G3331" s="90"/>
    </row>
    <row r="3332" spans="6:7" x14ac:dyDescent="0.3">
      <c r="F3332" s="90"/>
      <c r="G3332" s="90"/>
    </row>
    <row r="3333" spans="6:7" x14ac:dyDescent="0.3">
      <c r="F3333" s="90"/>
      <c r="G3333" s="90"/>
    </row>
    <row r="3334" spans="6:7" x14ac:dyDescent="0.3">
      <c r="F3334" s="90"/>
      <c r="G3334" s="90"/>
    </row>
    <row r="3335" spans="6:7" x14ac:dyDescent="0.3">
      <c r="F3335" s="90"/>
      <c r="G3335" s="90"/>
    </row>
    <row r="3336" spans="6:7" x14ac:dyDescent="0.3">
      <c r="F3336" s="90"/>
      <c r="G3336" s="90"/>
    </row>
    <row r="3337" spans="6:7" x14ac:dyDescent="0.3">
      <c r="F3337" s="90"/>
      <c r="G3337" s="90"/>
    </row>
    <row r="3338" spans="6:7" x14ac:dyDescent="0.3">
      <c r="F3338" s="90"/>
      <c r="G3338" s="90"/>
    </row>
    <row r="3339" spans="6:7" x14ac:dyDescent="0.3">
      <c r="F3339" s="90"/>
      <c r="G3339" s="90"/>
    </row>
    <row r="3340" spans="6:7" x14ac:dyDescent="0.3">
      <c r="F3340" s="90"/>
      <c r="G3340" s="90"/>
    </row>
    <row r="3341" spans="6:7" x14ac:dyDescent="0.3">
      <c r="F3341" s="90"/>
      <c r="G3341" s="90"/>
    </row>
    <row r="3342" spans="6:7" x14ac:dyDescent="0.3">
      <c r="F3342" s="90"/>
      <c r="G3342" s="90"/>
    </row>
    <row r="3343" spans="6:7" x14ac:dyDescent="0.3">
      <c r="F3343" s="90"/>
      <c r="G3343" s="90"/>
    </row>
    <row r="3344" spans="6:7" x14ac:dyDescent="0.3">
      <c r="F3344" s="90"/>
      <c r="G3344" s="90"/>
    </row>
    <row r="3345" spans="6:7" x14ac:dyDescent="0.3">
      <c r="F3345" s="90"/>
      <c r="G3345" s="90"/>
    </row>
    <row r="3346" spans="6:7" x14ac:dyDescent="0.3">
      <c r="F3346" s="90"/>
      <c r="G3346" s="90"/>
    </row>
    <row r="3347" spans="6:7" x14ac:dyDescent="0.3">
      <c r="F3347" s="90"/>
      <c r="G3347" s="90"/>
    </row>
    <row r="3348" spans="6:7" x14ac:dyDescent="0.3">
      <c r="F3348" s="90"/>
      <c r="G3348" s="90"/>
    </row>
    <row r="3349" spans="6:7" x14ac:dyDescent="0.3">
      <c r="F3349" s="90"/>
      <c r="G3349" s="90"/>
    </row>
    <row r="3350" spans="6:7" x14ac:dyDescent="0.3">
      <c r="F3350" s="90"/>
      <c r="G3350" s="90"/>
    </row>
    <row r="3351" spans="6:7" x14ac:dyDescent="0.3">
      <c r="F3351" s="90"/>
      <c r="G3351" s="90"/>
    </row>
    <row r="3352" spans="6:7" x14ac:dyDescent="0.3">
      <c r="F3352" s="90"/>
      <c r="G3352" s="90"/>
    </row>
    <row r="3353" spans="6:7" x14ac:dyDescent="0.3">
      <c r="F3353" s="90"/>
      <c r="G3353" s="90"/>
    </row>
    <row r="3354" spans="6:7" x14ac:dyDescent="0.3">
      <c r="F3354" s="90"/>
      <c r="G3354" s="90"/>
    </row>
    <row r="3355" spans="6:7" x14ac:dyDescent="0.3">
      <c r="F3355" s="90"/>
      <c r="G3355" s="90"/>
    </row>
    <row r="3356" spans="6:7" x14ac:dyDescent="0.3">
      <c r="F3356" s="90"/>
      <c r="G3356" s="90"/>
    </row>
    <row r="3357" spans="6:7" x14ac:dyDescent="0.3">
      <c r="F3357" s="90"/>
      <c r="G3357" s="90"/>
    </row>
    <row r="3358" spans="6:7" x14ac:dyDescent="0.3">
      <c r="F3358" s="90"/>
      <c r="G3358" s="90"/>
    </row>
    <row r="3359" spans="6:7" x14ac:dyDescent="0.3">
      <c r="F3359" s="90"/>
      <c r="G3359" s="90"/>
    </row>
    <row r="3360" spans="6:7" x14ac:dyDescent="0.3">
      <c r="F3360" s="90"/>
      <c r="G3360" s="90"/>
    </row>
    <row r="3361" spans="6:7" x14ac:dyDescent="0.3">
      <c r="F3361" s="90"/>
      <c r="G3361" s="90"/>
    </row>
    <row r="3362" spans="6:7" x14ac:dyDescent="0.3">
      <c r="F3362" s="90"/>
      <c r="G3362" s="90"/>
    </row>
    <row r="3363" spans="6:7" x14ac:dyDescent="0.3">
      <c r="F3363" s="90"/>
      <c r="G3363" s="90"/>
    </row>
    <row r="3364" spans="6:7" x14ac:dyDescent="0.3">
      <c r="F3364" s="90"/>
      <c r="G3364" s="90"/>
    </row>
    <row r="3365" spans="6:7" x14ac:dyDescent="0.3">
      <c r="F3365" s="90"/>
      <c r="G3365" s="90"/>
    </row>
    <row r="3366" spans="6:7" x14ac:dyDescent="0.3">
      <c r="F3366" s="90"/>
      <c r="G3366" s="90"/>
    </row>
    <row r="3367" spans="6:7" x14ac:dyDescent="0.3">
      <c r="F3367" s="90"/>
      <c r="G3367" s="90"/>
    </row>
    <row r="3368" spans="6:7" x14ac:dyDescent="0.3">
      <c r="F3368" s="90"/>
      <c r="G3368" s="90"/>
    </row>
    <row r="3369" spans="6:7" x14ac:dyDescent="0.3">
      <c r="F3369" s="90"/>
      <c r="G3369" s="90"/>
    </row>
    <row r="3370" spans="6:7" x14ac:dyDescent="0.3">
      <c r="F3370" s="90"/>
      <c r="G3370" s="90"/>
    </row>
    <row r="3371" spans="6:7" x14ac:dyDescent="0.3">
      <c r="F3371" s="90"/>
      <c r="G3371" s="90"/>
    </row>
    <row r="3372" spans="6:7" x14ac:dyDescent="0.3">
      <c r="F3372" s="90"/>
      <c r="G3372" s="90"/>
    </row>
    <row r="3373" spans="6:7" x14ac:dyDescent="0.3">
      <c r="F3373" s="90"/>
      <c r="G3373" s="90"/>
    </row>
    <row r="3374" spans="6:7" x14ac:dyDescent="0.3">
      <c r="F3374" s="90"/>
      <c r="G3374" s="90"/>
    </row>
    <row r="3375" spans="6:7" x14ac:dyDescent="0.3">
      <c r="F3375" s="90"/>
      <c r="G3375" s="90"/>
    </row>
    <row r="3376" spans="6:7" x14ac:dyDescent="0.3">
      <c r="F3376" s="90"/>
      <c r="G3376" s="90"/>
    </row>
    <row r="3377" spans="6:7" x14ac:dyDescent="0.3">
      <c r="F3377" s="90"/>
      <c r="G3377" s="90"/>
    </row>
    <row r="3378" spans="6:7" x14ac:dyDescent="0.3">
      <c r="F3378" s="90"/>
      <c r="G3378" s="90"/>
    </row>
    <row r="3379" spans="6:7" x14ac:dyDescent="0.3">
      <c r="F3379" s="90"/>
      <c r="G3379" s="90"/>
    </row>
    <row r="3380" spans="6:7" x14ac:dyDescent="0.3">
      <c r="F3380" s="90"/>
      <c r="G3380" s="90"/>
    </row>
    <row r="3381" spans="6:7" x14ac:dyDescent="0.3">
      <c r="F3381" s="90"/>
      <c r="G3381" s="90"/>
    </row>
    <row r="3382" spans="6:7" x14ac:dyDescent="0.3">
      <c r="F3382" s="90"/>
      <c r="G3382" s="90"/>
    </row>
    <row r="3383" spans="6:7" x14ac:dyDescent="0.3">
      <c r="F3383" s="90"/>
      <c r="G3383" s="90"/>
    </row>
    <row r="3384" spans="6:7" x14ac:dyDescent="0.3">
      <c r="F3384" s="90"/>
      <c r="G3384" s="90"/>
    </row>
    <row r="3385" spans="6:7" x14ac:dyDescent="0.3">
      <c r="F3385" s="90"/>
      <c r="G3385" s="90"/>
    </row>
    <row r="3386" spans="6:7" x14ac:dyDescent="0.3">
      <c r="F3386" s="90"/>
      <c r="G3386" s="90"/>
    </row>
    <row r="3387" spans="6:7" x14ac:dyDescent="0.3">
      <c r="F3387" s="90"/>
      <c r="G3387" s="90"/>
    </row>
    <row r="3388" spans="6:7" x14ac:dyDescent="0.3">
      <c r="F3388" s="90"/>
      <c r="G3388" s="90"/>
    </row>
    <row r="3389" spans="6:7" x14ac:dyDescent="0.3">
      <c r="F3389" s="90"/>
      <c r="G3389" s="90"/>
    </row>
    <row r="3390" spans="6:7" x14ac:dyDescent="0.3">
      <c r="F3390" s="90"/>
      <c r="G3390" s="90"/>
    </row>
    <row r="3391" spans="6:7" x14ac:dyDescent="0.3">
      <c r="F3391" s="90"/>
      <c r="G3391" s="90"/>
    </row>
    <row r="3392" spans="6:7" x14ac:dyDescent="0.3">
      <c r="F3392" s="90"/>
      <c r="G3392" s="90"/>
    </row>
    <row r="3393" spans="6:7" x14ac:dyDescent="0.3">
      <c r="F3393" s="90"/>
      <c r="G3393" s="90"/>
    </row>
    <row r="3394" spans="6:7" x14ac:dyDescent="0.3">
      <c r="F3394" s="90"/>
      <c r="G3394" s="90"/>
    </row>
    <row r="3395" spans="6:7" x14ac:dyDescent="0.3">
      <c r="F3395" s="90"/>
      <c r="G3395" s="90"/>
    </row>
    <row r="3396" spans="6:7" x14ac:dyDescent="0.3">
      <c r="F3396" s="90"/>
      <c r="G3396" s="90"/>
    </row>
    <row r="3397" spans="6:7" x14ac:dyDescent="0.3">
      <c r="F3397" s="90"/>
      <c r="G3397" s="90"/>
    </row>
    <row r="3398" spans="6:7" x14ac:dyDescent="0.3">
      <c r="F3398" s="90"/>
      <c r="G3398" s="90"/>
    </row>
    <row r="3399" spans="6:7" x14ac:dyDescent="0.3">
      <c r="F3399" s="90"/>
      <c r="G3399" s="90"/>
    </row>
    <row r="3400" spans="6:7" x14ac:dyDescent="0.3">
      <c r="F3400" s="90"/>
      <c r="G3400" s="90"/>
    </row>
    <row r="3401" spans="6:7" x14ac:dyDescent="0.3">
      <c r="F3401" s="90"/>
      <c r="G3401" s="90"/>
    </row>
    <row r="3402" spans="6:7" x14ac:dyDescent="0.3">
      <c r="F3402" s="90"/>
      <c r="G3402" s="90"/>
    </row>
    <row r="3403" spans="6:7" x14ac:dyDescent="0.3">
      <c r="F3403" s="90"/>
      <c r="G3403" s="90"/>
    </row>
    <row r="3404" spans="6:7" x14ac:dyDescent="0.3">
      <c r="F3404" s="90"/>
      <c r="G3404" s="90"/>
    </row>
    <row r="3405" spans="6:7" x14ac:dyDescent="0.3">
      <c r="F3405" s="90"/>
      <c r="G3405" s="90"/>
    </row>
    <row r="3406" spans="6:7" x14ac:dyDescent="0.3">
      <c r="F3406" s="90"/>
      <c r="G3406" s="90"/>
    </row>
    <row r="3407" spans="6:7" x14ac:dyDescent="0.3">
      <c r="F3407" s="90"/>
      <c r="G3407" s="90"/>
    </row>
    <row r="3408" spans="6:7" x14ac:dyDescent="0.3">
      <c r="F3408" s="90"/>
      <c r="G3408" s="90"/>
    </row>
    <row r="3409" spans="6:7" x14ac:dyDescent="0.3">
      <c r="F3409" s="90"/>
      <c r="G3409" s="90"/>
    </row>
    <row r="3410" spans="6:7" x14ac:dyDescent="0.3">
      <c r="F3410" s="90"/>
      <c r="G3410" s="90"/>
    </row>
    <row r="3411" spans="6:7" x14ac:dyDescent="0.3">
      <c r="F3411" s="90"/>
      <c r="G3411" s="90"/>
    </row>
    <row r="3412" spans="6:7" x14ac:dyDescent="0.3">
      <c r="F3412" s="90"/>
      <c r="G3412" s="90"/>
    </row>
    <row r="3413" spans="6:7" x14ac:dyDescent="0.3">
      <c r="F3413" s="90"/>
      <c r="G3413" s="90"/>
    </row>
    <row r="3414" spans="6:7" x14ac:dyDescent="0.3">
      <c r="F3414" s="90"/>
      <c r="G3414" s="90"/>
    </row>
    <row r="3415" spans="6:7" x14ac:dyDescent="0.3">
      <c r="F3415" s="90"/>
      <c r="G3415" s="90"/>
    </row>
    <row r="3416" spans="6:7" x14ac:dyDescent="0.3">
      <c r="F3416" s="90"/>
      <c r="G3416" s="90"/>
    </row>
    <row r="3417" spans="6:7" x14ac:dyDescent="0.3">
      <c r="F3417" s="90"/>
      <c r="G3417" s="90"/>
    </row>
    <row r="3418" spans="6:7" x14ac:dyDescent="0.3">
      <c r="F3418" s="90"/>
      <c r="G3418" s="90"/>
    </row>
    <row r="3419" spans="6:7" x14ac:dyDescent="0.3">
      <c r="F3419" s="90"/>
      <c r="G3419" s="90"/>
    </row>
    <row r="3420" spans="6:7" x14ac:dyDescent="0.3">
      <c r="F3420" s="90"/>
      <c r="G3420" s="90"/>
    </row>
    <row r="3421" spans="6:7" x14ac:dyDescent="0.3">
      <c r="F3421" s="90"/>
      <c r="G3421" s="90"/>
    </row>
    <row r="3422" spans="6:7" x14ac:dyDescent="0.3">
      <c r="F3422" s="90"/>
      <c r="G3422" s="90"/>
    </row>
    <row r="3423" spans="6:7" x14ac:dyDescent="0.3">
      <c r="F3423" s="90"/>
      <c r="G3423" s="90"/>
    </row>
    <row r="3424" spans="6:7" x14ac:dyDescent="0.3">
      <c r="F3424" s="90"/>
      <c r="G3424" s="90"/>
    </row>
    <row r="3425" spans="6:7" x14ac:dyDescent="0.3">
      <c r="F3425" s="90"/>
      <c r="G3425" s="90"/>
    </row>
    <row r="3426" spans="6:7" x14ac:dyDescent="0.3">
      <c r="F3426" s="90"/>
      <c r="G3426" s="90"/>
    </row>
    <row r="3427" spans="6:7" x14ac:dyDescent="0.3">
      <c r="F3427" s="90"/>
      <c r="G3427" s="90"/>
    </row>
    <row r="3428" spans="6:7" x14ac:dyDescent="0.3">
      <c r="F3428" s="90"/>
      <c r="G3428" s="90"/>
    </row>
    <row r="3429" spans="6:7" x14ac:dyDescent="0.3">
      <c r="F3429" s="90"/>
      <c r="G3429" s="90"/>
    </row>
    <row r="3430" spans="6:7" x14ac:dyDescent="0.3">
      <c r="F3430" s="90"/>
      <c r="G3430" s="90"/>
    </row>
    <row r="3431" spans="6:7" x14ac:dyDescent="0.3">
      <c r="F3431" s="90"/>
      <c r="G3431" s="90"/>
    </row>
    <row r="3432" spans="6:7" x14ac:dyDescent="0.3">
      <c r="F3432" s="90"/>
      <c r="G3432" s="90"/>
    </row>
    <row r="3433" spans="6:7" x14ac:dyDescent="0.3">
      <c r="F3433" s="90"/>
      <c r="G3433" s="90"/>
    </row>
    <row r="3434" spans="6:7" x14ac:dyDescent="0.3">
      <c r="F3434" s="90"/>
      <c r="G3434" s="90"/>
    </row>
    <row r="3435" spans="6:7" x14ac:dyDescent="0.3">
      <c r="F3435" s="90"/>
      <c r="G3435" s="90"/>
    </row>
    <row r="3436" spans="6:7" x14ac:dyDescent="0.3">
      <c r="F3436" s="90"/>
      <c r="G3436" s="90"/>
    </row>
    <row r="3437" spans="6:7" x14ac:dyDescent="0.3">
      <c r="F3437" s="90"/>
      <c r="G3437" s="90"/>
    </row>
    <row r="3438" spans="6:7" x14ac:dyDescent="0.3">
      <c r="F3438" s="90"/>
      <c r="G3438" s="90"/>
    </row>
    <row r="3439" spans="6:7" x14ac:dyDescent="0.3">
      <c r="F3439" s="90"/>
      <c r="G3439" s="90"/>
    </row>
    <row r="3440" spans="6:7" x14ac:dyDescent="0.3">
      <c r="F3440" s="90"/>
      <c r="G3440" s="90"/>
    </row>
    <row r="3441" spans="6:7" x14ac:dyDescent="0.3">
      <c r="F3441" s="90"/>
      <c r="G3441" s="90"/>
    </row>
    <row r="3442" spans="6:7" x14ac:dyDescent="0.3">
      <c r="F3442" s="90"/>
      <c r="G3442" s="90"/>
    </row>
    <row r="3443" spans="6:7" x14ac:dyDescent="0.3">
      <c r="F3443" s="90"/>
      <c r="G3443" s="90"/>
    </row>
    <row r="3444" spans="6:7" x14ac:dyDescent="0.3">
      <c r="F3444" s="90"/>
      <c r="G3444" s="90"/>
    </row>
    <row r="3445" spans="6:7" x14ac:dyDescent="0.3">
      <c r="F3445" s="90"/>
      <c r="G3445" s="90"/>
    </row>
    <row r="3446" spans="6:7" x14ac:dyDescent="0.3">
      <c r="F3446" s="90"/>
      <c r="G3446" s="90"/>
    </row>
    <row r="3447" spans="6:7" x14ac:dyDescent="0.3">
      <c r="F3447" s="90"/>
      <c r="G3447" s="90"/>
    </row>
    <row r="3448" spans="6:7" x14ac:dyDescent="0.3">
      <c r="F3448" s="90"/>
      <c r="G3448" s="90"/>
    </row>
    <row r="3449" spans="6:7" x14ac:dyDescent="0.3">
      <c r="F3449" s="90"/>
      <c r="G3449" s="90"/>
    </row>
    <row r="3450" spans="6:7" x14ac:dyDescent="0.3">
      <c r="F3450" s="90"/>
      <c r="G3450" s="90"/>
    </row>
    <row r="3451" spans="6:7" x14ac:dyDescent="0.3">
      <c r="F3451" s="90"/>
      <c r="G3451" s="90"/>
    </row>
    <row r="3452" spans="6:7" x14ac:dyDescent="0.3">
      <c r="F3452" s="90"/>
      <c r="G3452" s="90"/>
    </row>
    <row r="3453" spans="6:7" x14ac:dyDescent="0.3">
      <c r="F3453" s="90"/>
      <c r="G3453" s="90"/>
    </row>
    <row r="3454" spans="6:7" x14ac:dyDescent="0.3">
      <c r="F3454" s="90"/>
      <c r="G3454" s="90"/>
    </row>
    <row r="3455" spans="6:7" x14ac:dyDescent="0.3">
      <c r="F3455" s="90"/>
      <c r="G3455" s="90"/>
    </row>
    <row r="3456" spans="6:7" x14ac:dyDescent="0.3">
      <c r="F3456" s="90"/>
      <c r="G3456" s="90"/>
    </row>
    <row r="3457" spans="6:7" x14ac:dyDescent="0.3">
      <c r="F3457" s="90"/>
      <c r="G3457" s="90"/>
    </row>
    <row r="3458" spans="6:7" x14ac:dyDescent="0.3">
      <c r="F3458" s="90"/>
      <c r="G3458" s="90"/>
    </row>
    <row r="3459" spans="6:7" x14ac:dyDescent="0.3">
      <c r="F3459" s="90"/>
      <c r="G3459" s="90"/>
    </row>
    <row r="3460" spans="6:7" x14ac:dyDescent="0.3">
      <c r="F3460" s="90"/>
      <c r="G3460" s="90"/>
    </row>
    <row r="3461" spans="6:7" x14ac:dyDescent="0.3">
      <c r="F3461" s="90"/>
      <c r="G3461" s="90"/>
    </row>
    <row r="3462" spans="6:7" x14ac:dyDescent="0.3">
      <c r="F3462" s="90"/>
      <c r="G3462" s="90"/>
    </row>
    <row r="3463" spans="6:7" x14ac:dyDescent="0.3">
      <c r="F3463" s="90"/>
      <c r="G3463" s="90"/>
    </row>
    <row r="3464" spans="6:7" x14ac:dyDescent="0.3">
      <c r="F3464" s="90"/>
      <c r="G3464" s="90"/>
    </row>
    <row r="3465" spans="6:7" x14ac:dyDescent="0.3">
      <c r="F3465" s="90"/>
      <c r="G3465" s="90"/>
    </row>
    <row r="3466" spans="6:7" x14ac:dyDescent="0.3">
      <c r="F3466" s="90"/>
      <c r="G3466" s="90"/>
    </row>
    <row r="3467" spans="6:7" x14ac:dyDescent="0.3">
      <c r="F3467" s="90"/>
      <c r="G3467" s="90"/>
    </row>
    <row r="3468" spans="6:7" x14ac:dyDescent="0.3">
      <c r="F3468" s="90"/>
      <c r="G3468" s="90"/>
    </row>
    <row r="3469" spans="6:7" x14ac:dyDescent="0.3">
      <c r="F3469" s="90"/>
      <c r="G3469" s="90"/>
    </row>
    <row r="3470" spans="6:7" x14ac:dyDescent="0.3">
      <c r="F3470" s="90"/>
      <c r="G3470" s="90"/>
    </row>
    <row r="3471" spans="6:7" x14ac:dyDescent="0.3">
      <c r="F3471" s="90"/>
      <c r="G3471" s="90"/>
    </row>
    <row r="3472" spans="6:7" x14ac:dyDescent="0.3">
      <c r="F3472" s="90"/>
      <c r="G3472" s="90"/>
    </row>
    <row r="3473" spans="6:7" x14ac:dyDescent="0.3">
      <c r="F3473" s="90"/>
      <c r="G3473" s="90"/>
    </row>
    <row r="3474" spans="6:7" x14ac:dyDescent="0.3">
      <c r="F3474" s="90"/>
      <c r="G3474" s="90"/>
    </row>
    <row r="3475" spans="6:7" x14ac:dyDescent="0.3">
      <c r="F3475" s="90"/>
      <c r="G3475" s="90"/>
    </row>
    <row r="3476" spans="6:7" x14ac:dyDescent="0.3">
      <c r="F3476" s="90"/>
      <c r="G3476" s="90"/>
    </row>
    <row r="3477" spans="6:7" x14ac:dyDescent="0.3">
      <c r="F3477" s="90"/>
      <c r="G3477" s="90"/>
    </row>
    <row r="3478" spans="6:7" x14ac:dyDescent="0.3">
      <c r="F3478" s="90"/>
      <c r="G3478" s="90"/>
    </row>
    <row r="3479" spans="6:7" x14ac:dyDescent="0.3">
      <c r="F3479" s="90"/>
      <c r="G3479" s="90"/>
    </row>
    <row r="3480" spans="6:7" x14ac:dyDescent="0.3">
      <c r="F3480" s="90"/>
      <c r="G3480" s="90"/>
    </row>
    <row r="3481" spans="6:7" x14ac:dyDescent="0.3">
      <c r="F3481" s="90"/>
      <c r="G3481" s="90"/>
    </row>
    <row r="3482" spans="6:7" x14ac:dyDescent="0.3">
      <c r="F3482" s="90"/>
      <c r="G3482" s="90"/>
    </row>
    <row r="3483" spans="6:7" x14ac:dyDescent="0.3">
      <c r="F3483" s="90"/>
      <c r="G3483" s="90"/>
    </row>
    <row r="3484" spans="6:7" x14ac:dyDescent="0.3">
      <c r="F3484" s="90"/>
      <c r="G3484" s="90"/>
    </row>
    <row r="3485" spans="6:7" x14ac:dyDescent="0.3">
      <c r="F3485" s="90"/>
      <c r="G3485" s="90"/>
    </row>
    <row r="3486" spans="6:7" x14ac:dyDescent="0.3">
      <c r="F3486" s="90"/>
      <c r="G3486" s="90"/>
    </row>
    <row r="3487" spans="6:7" x14ac:dyDescent="0.3">
      <c r="F3487" s="90"/>
      <c r="G3487" s="90"/>
    </row>
    <row r="3488" spans="6:7" x14ac:dyDescent="0.3">
      <c r="F3488" s="90"/>
      <c r="G3488" s="90"/>
    </row>
    <row r="3489" spans="6:7" x14ac:dyDescent="0.3">
      <c r="F3489" s="90"/>
      <c r="G3489" s="90"/>
    </row>
    <row r="3490" spans="6:7" x14ac:dyDescent="0.3">
      <c r="F3490" s="90"/>
      <c r="G3490" s="90"/>
    </row>
    <row r="3491" spans="6:7" x14ac:dyDescent="0.3">
      <c r="F3491" s="90"/>
      <c r="G3491" s="90"/>
    </row>
    <row r="3492" spans="6:7" x14ac:dyDescent="0.3">
      <c r="F3492" s="90"/>
      <c r="G3492" s="90"/>
    </row>
    <row r="3493" spans="6:7" x14ac:dyDescent="0.3">
      <c r="F3493" s="90"/>
      <c r="G3493" s="90"/>
    </row>
    <row r="3494" spans="6:7" x14ac:dyDescent="0.3">
      <c r="F3494" s="90"/>
      <c r="G3494" s="90"/>
    </row>
    <row r="3495" spans="6:7" x14ac:dyDescent="0.3">
      <c r="F3495" s="90"/>
      <c r="G3495" s="90"/>
    </row>
    <row r="3496" spans="6:7" x14ac:dyDescent="0.3">
      <c r="F3496" s="90"/>
      <c r="G3496" s="90"/>
    </row>
    <row r="3497" spans="6:7" x14ac:dyDescent="0.3">
      <c r="F3497" s="90"/>
      <c r="G3497" s="90"/>
    </row>
    <row r="3498" spans="6:7" x14ac:dyDescent="0.3">
      <c r="F3498" s="90"/>
      <c r="G3498" s="90"/>
    </row>
    <row r="3499" spans="6:7" x14ac:dyDescent="0.3">
      <c r="F3499" s="90"/>
      <c r="G3499" s="90"/>
    </row>
    <row r="3500" spans="6:7" x14ac:dyDescent="0.3">
      <c r="F3500" s="90"/>
      <c r="G3500" s="90"/>
    </row>
    <row r="3501" spans="6:7" x14ac:dyDescent="0.3">
      <c r="F3501" s="90"/>
      <c r="G3501" s="90"/>
    </row>
    <row r="3502" spans="6:7" x14ac:dyDescent="0.3">
      <c r="F3502" s="90"/>
      <c r="G3502" s="90"/>
    </row>
    <row r="3503" spans="6:7" x14ac:dyDescent="0.3">
      <c r="F3503" s="90"/>
      <c r="G3503" s="90"/>
    </row>
    <row r="3504" spans="6:7" x14ac:dyDescent="0.3">
      <c r="F3504" s="90"/>
      <c r="G3504" s="90"/>
    </row>
    <row r="3505" spans="6:7" x14ac:dyDescent="0.3">
      <c r="F3505" s="90"/>
      <c r="G3505" s="90"/>
    </row>
    <row r="3506" spans="6:7" x14ac:dyDescent="0.3">
      <c r="F3506" s="90"/>
      <c r="G3506" s="90"/>
    </row>
    <row r="3507" spans="6:7" x14ac:dyDescent="0.3">
      <c r="F3507" s="90"/>
      <c r="G3507" s="90"/>
    </row>
    <row r="3508" spans="6:7" x14ac:dyDescent="0.3">
      <c r="F3508" s="90"/>
      <c r="G3508" s="90"/>
    </row>
    <row r="3509" spans="6:7" x14ac:dyDescent="0.3">
      <c r="F3509" s="90"/>
      <c r="G3509" s="90"/>
    </row>
    <row r="3510" spans="6:7" x14ac:dyDescent="0.3">
      <c r="F3510" s="90"/>
      <c r="G3510" s="90"/>
    </row>
    <row r="3511" spans="6:7" x14ac:dyDescent="0.3">
      <c r="F3511" s="90"/>
      <c r="G3511" s="90"/>
    </row>
    <row r="3512" spans="6:7" x14ac:dyDescent="0.3">
      <c r="F3512" s="90"/>
      <c r="G3512" s="90"/>
    </row>
    <row r="3513" spans="6:7" x14ac:dyDescent="0.3">
      <c r="F3513" s="90"/>
      <c r="G3513" s="90"/>
    </row>
    <row r="3514" spans="6:7" x14ac:dyDescent="0.3">
      <c r="F3514" s="90"/>
      <c r="G3514" s="90"/>
    </row>
    <row r="3515" spans="6:7" x14ac:dyDescent="0.3">
      <c r="F3515" s="90"/>
      <c r="G3515" s="90"/>
    </row>
    <row r="3516" spans="6:7" x14ac:dyDescent="0.3">
      <c r="F3516" s="90"/>
      <c r="G3516" s="90"/>
    </row>
    <row r="3517" spans="6:7" x14ac:dyDescent="0.3">
      <c r="F3517" s="90"/>
      <c r="G3517" s="90"/>
    </row>
    <row r="3518" spans="6:7" x14ac:dyDescent="0.3">
      <c r="F3518" s="90"/>
      <c r="G3518" s="90"/>
    </row>
    <row r="3519" spans="6:7" x14ac:dyDescent="0.3">
      <c r="F3519" s="90"/>
      <c r="G3519" s="90"/>
    </row>
    <row r="3520" spans="6:7" x14ac:dyDescent="0.3">
      <c r="F3520" s="90"/>
      <c r="G3520" s="90"/>
    </row>
    <row r="3521" spans="6:7" x14ac:dyDescent="0.3">
      <c r="F3521" s="90"/>
      <c r="G3521" s="90"/>
    </row>
    <row r="3522" spans="6:7" x14ac:dyDescent="0.3">
      <c r="F3522" s="90"/>
      <c r="G3522" s="90"/>
    </row>
    <row r="3523" spans="6:7" x14ac:dyDescent="0.3">
      <c r="F3523" s="90"/>
      <c r="G3523" s="90"/>
    </row>
    <row r="3524" spans="6:7" x14ac:dyDescent="0.3">
      <c r="F3524" s="90"/>
      <c r="G3524" s="90"/>
    </row>
    <row r="3525" spans="6:7" x14ac:dyDescent="0.3">
      <c r="F3525" s="90"/>
      <c r="G3525" s="90"/>
    </row>
    <row r="3526" spans="6:7" x14ac:dyDescent="0.3">
      <c r="F3526" s="90"/>
      <c r="G3526" s="90"/>
    </row>
    <row r="3527" spans="6:7" x14ac:dyDescent="0.3">
      <c r="F3527" s="90"/>
      <c r="G3527" s="90"/>
    </row>
    <row r="3528" spans="6:7" x14ac:dyDescent="0.3">
      <c r="F3528" s="90"/>
      <c r="G3528" s="90"/>
    </row>
    <row r="3529" spans="6:7" x14ac:dyDescent="0.3">
      <c r="F3529" s="90"/>
      <c r="G3529" s="90"/>
    </row>
    <row r="3530" spans="6:7" x14ac:dyDescent="0.3">
      <c r="F3530" s="90"/>
      <c r="G3530" s="90"/>
    </row>
    <row r="3531" spans="6:7" x14ac:dyDescent="0.3">
      <c r="F3531" s="90"/>
      <c r="G3531" s="90"/>
    </row>
    <row r="3532" spans="6:7" x14ac:dyDescent="0.3">
      <c r="F3532" s="90"/>
      <c r="G3532" s="90"/>
    </row>
    <row r="3533" spans="6:7" x14ac:dyDescent="0.3">
      <c r="F3533" s="90"/>
      <c r="G3533" s="90"/>
    </row>
    <row r="3534" spans="6:7" x14ac:dyDescent="0.3">
      <c r="F3534" s="90"/>
      <c r="G3534" s="90"/>
    </row>
    <row r="3535" spans="6:7" x14ac:dyDescent="0.3">
      <c r="F3535" s="90"/>
      <c r="G3535" s="90"/>
    </row>
    <row r="3536" spans="6:7" x14ac:dyDescent="0.3">
      <c r="F3536" s="90"/>
      <c r="G3536" s="90"/>
    </row>
    <row r="3537" spans="6:7" x14ac:dyDescent="0.3">
      <c r="F3537" s="90"/>
      <c r="G3537" s="90"/>
    </row>
    <row r="3538" spans="6:7" x14ac:dyDescent="0.3">
      <c r="F3538" s="90"/>
      <c r="G3538" s="90"/>
    </row>
    <row r="3539" spans="6:7" x14ac:dyDescent="0.3">
      <c r="F3539" s="90"/>
      <c r="G3539" s="90"/>
    </row>
    <row r="3540" spans="6:7" x14ac:dyDescent="0.3">
      <c r="F3540" s="90"/>
      <c r="G3540" s="90"/>
    </row>
    <row r="3541" spans="6:7" x14ac:dyDescent="0.3">
      <c r="F3541" s="90"/>
      <c r="G3541" s="90"/>
    </row>
    <row r="3542" spans="6:7" x14ac:dyDescent="0.3">
      <c r="F3542" s="90"/>
      <c r="G3542" s="90"/>
    </row>
    <row r="3543" spans="6:7" x14ac:dyDescent="0.3">
      <c r="F3543" s="90"/>
      <c r="G3543" s="90"/>
    </row>
    <row r="3544" spans="6:7" x14ac:dyDescent="0.3">
      <c r="F3544" s="90"/>
      <c r="G3544" s="90"/>
    </row>
    <row r="3545" spans="6:7" x14ac:dyDescent="0.3">
      <c r="F3545" s="90"/>
      <c r="G3545" s="90"/>
    </row>
    <row r="3546" spans="6:7" x14ac:dyDescent="0.3">
      <c r="F3546" s="90"/>
      <c r="G3546" s="90"/>
    </row>
    <row r="3547" spans="6:7" x14ac:dyDescent="0.3">
      <c r="F3547" s="90"/>
      <c r="G3547" s="90"/>
    </row>
    <row r="3548" spans="6:7" x14ac:dyDescent="0.3">
      <c r="F3548" s="90"/>
      <c r="G3548" s="90"/>
    </row>
    <row r="3549" spans="6:7" x14ac:dyDescent="0.3">
      <c r="F3549" s="90"/>
      <c r="G3549" s="90"/>
    </row>
    <row r="3550" spans="6:7" x14ac:dyDescent="0.3">
      <c r="F3550" s="90"/>
      <c r="G3550" s="90"/>
    </row>
    <row r="3551" spans="6:7" x14ac:dyDescent="0.3">
      <c r="F3551" s="90"/>
      <c r="G3551" s="90"/>
    </row>
    <row r="3552" spans="6:7" x14ac:dyDescent="0.3">
      <c r="F3552" s="90"/>
      <c r="G3552" s="90"/>
    </row>
    <row r="3553" spans="6:7" x14ac:dyDescent="0.3">
      <c r="F3553" s="90"/>
      <c r="G3553" s="90"/>
    </row>
    <row r="3554" spans="6:7" x14ac:dyDescent="0.3">
      <c r="F3554" s="90"/>
      <c r="G3554" s="90"/>
    </row>
    <row r="3555" spans="6:7" x14ac:dyDescent="0.3">
      <c r="F3555" s="90"/>
      <c r="G3555" s="90"/>
    </row>
    <row r="3556" spans="6:7" x14ac:dyDescent="0.3">
      <c r="F3556" s="90"/>
      <c r="G3556" s="90"/>
    </row>
    <row r="3557" spans="6:7" x14ac:dyDescent="0.3">
      <c r="F3557" s="90"/>
      <c r="G3557" s="90"/>
    </row>
    <row r="3558" spans="6:7" x14ac:dyDescent="0.3">
      <c r="F3558" s="90"/>
      <c r="G3558" s="90"/>
    </row>
    <row r="3559" spans="6:7" x14ac:dyDescent="0.3">
      <c r="F3559" s="90"/>
      <c r="G3559" s="90"/>
    </row>
    <row r="3560" spans="6:7" x14ac:dyDescent="0.3">
      <c r="F3560" s="90"/>
      <c r="G3560" s="90"/>
    </row>
    <row r="3561" spans="6:7" x14ac:dyDescent="0.3">
      <c r="F3561" s="90"/>
      <c r="G3561" s="90"/>
    </row>
    <row r="3562" spans="6:7" x14ac:dyDescent="0.3">
      <c r="F3562" s="90"/>
      <c r="G3562" s="90"/>
    </row>
    <row r="3563" spans="6:7" x14ac:dyDescent="0.3">
      <c r="F3563" s="90"/>
      <c r="G3563" s="90"/>
    </row>
    <row r="3564" spans="6:7" x14ac:dyDescent="0.3">
      <c r="F3564" s="90"/>
      <c r="G3564" s="90"/>
    </row>
    <row r="3565" spans="6:7" x14ac:dyDescent="0.3">
      <c r="F3565" s="90"/>
      <c r="G3565" s="90"/>
    </row>
    <row r="3566" spans="6:7" x14ac:dyDescent="0.3">
      <c r="F3566" s="90"/>
      <c r="G3566" s="90"/>
    </row>
    <row r="3567" spans="6:7" x14ac:dyDescent="0.3">
      <c r="F3567" s="90"/>
      <c r="G3567" s="90"/>
    </row>
    <row r="3568" spans="6:7" x14ac:dyDescent="0.3">
      <c r="F3568" s="90"/>
      <c r="G3568" s="90"/>
    </row>
    <row r="3569" spans="6:7" x14ac:dyDescent="0.3">
      <c r="F3569" s="90"/>
      <c r="G3569" s="90"/>
    </row>
    <row r="3570" spans="6:7" x14ac:dyDescent="0.3">
      <c r="F3570" s="90"/>
      <c r="G3570" s="90"/>
    </row>
    <row r="3571" spans="6:7" x14ac:dyDescent="0.3">
      <c r="F3571" s="90"/>
      <c r="G3571" s="90"/>
    </row>
    <row r="3572" spans="6:7" x14ac:dyDescent="0.3">
      <c r="F3572" s="90"/>
      <c r="G3572" s="90"/>
    </row>
    <row r="3573" spans="6:7" x14ac:dyDescent="0.3">
      <c r="F3573" s="90"/>
      <c r="G3573" s="90"/>
    </row>
    <row r="3574" spans="6:7" x14ac:dyDescent="0.3">
      <c r="F3574" s="90"/>
      <c r="G3574" s="90"/>
    </row>
    <row r="3575" spans="6:7" x14ac:dyDescent="0.3">
      <c r="F3575" s="90"/>
      <c r="G3575" s="90"/>
    </row>
    <row r="3576" spans="6:7" x14ac:dyDescent="0.3">
      <c r="F3576" s="90"/>
      <c r="G3576" s="90"/>
    </row>
    <row r="3577" spans="6:7" x14ac:dyDescent="0.3">
      <c r="F3577" s="90"/>
      <c r="G3577" s="90"/>
    </row>
    <row r="3578" spans="6:7" x14ac:dyDescent="0.3">
      <c r="F3578" s="90"/>
      <c r="G3578" s="90"/>
    </row>
    <row r="3579" spans="6:7" x14ac:dyDescent="0.3">
      <c r="F3579" s="90"/>
      <c r="G3579" s="90"/>
    </row>
    <row r="3580" spans="6:7" x14ac:dyDescent="0.3">
      <c r="F3580" s="90"/>
      <c r="G3580" s="90"/>
    </row>
    <row r="3581" spans="6:7" x14ac:dyDescent="0.3">
      <c r="F3581" s="90"/>
      <c r="G3581" s="90"/>
    </row>
    <row r="3582" spans="6:7" x14ac:dyDescent="0.3">
      <c r="F3582" s="90"/>
      <c r="G3582" s="90"/>
    </row>
    <row r="3583" spans="6:7" x14ac:dyDescent="0.3">
      <c r="F3583" s="90"/>
      <c r="G3583" s="90"/>
    </row>
    <row r="3584" spans="6:7" x14ac:dyDescent="0.3">
      <c r="F3584" s="90"/>
      <c r="G3584" s="90"/>
    </row>
    <row r="3585" spans="6:7" x14ac:dyDescent="0.3">
      <c r="F3585" s="90"/>
      <c r="G3585" s="90"/>
    </row>
    <row r="3586" spans="6:7" x14ac:dyDescent="0.3">
      <c r="F3586" s="90"/>
      <c r="G3586" s="90"/>
    </row>
    <row r="3587" spans="6:7" x14ac:dyDescent="0.3">
      <c r="F3587" s="90"/>
      <c r="G3587" s="90"/>
    </row>
    <row r="3588" spans="6:7" x14ac:dyDescent="0.3">
      <c r="F3588" s="90"/>
      <c r="G3588" s="90"/>
    </row>
    <row r="3589" spans="6:7" x14ac:dyDescent="0.3">
      <c r="F3589" s="90"/>
      <c r="G3589" s="90"/>
    </row>
    <row r="3590" spans="6:7" x14ac:dyDescent="0.3">
      <c r="F3590" s="90"/>
      <c r="G3590" s="90"/>
    </row>
    <row r="3591" spans="6:7" x14ac:dyDescent="0.3">
      <c r="F3591" s="90"/>
      <c r="G3591" s="90"/>
    </row>
    <row r="3592" spans="6:7" x14ac:dyDescent="0.3">
      <c r="F3592" s="90"/>
      <c r="G3592" s="90"/>
    </row>
    <row r="3593" spans="6:7" x14ac:dyDescent="0.3">
      <c r="F3593" s="90"/>
      <c r="G3593" s="90"/>
    </row>
    <row r="3594" spans="6:7" x14ac:dyDescent="0.3">
      <c r="F3594" s="90"/>
      <c r="G3594" s="90"/>
    </row>
    <row r="3595" spans="6:7" x14ac:dyDescent="0.3">
      <c r="F3595" s="90"/>
      <c r="G3595" s="90"/>
    </row>
    <row r="3596" spans="6:7" x14ac:dyDescent="0.3">
      <c r="F3596" s="90"/>
      <c r="G3596" s="90"/>
    </row>
    <row r="3597" spans="6:7" x14ac:dyDescent="0.3">
      <c r="F3597" s="90"/>
      <c r="G3597" s="90"/>
    </row>
    <row r="3598" spans="6:7" x14ac:dyDescent="0.3">
      <c r="F3598" s="90"/>
      <c r="G3598" s="90"/>
    </row>
    <row r="3599" spans="6:7" x14ac:dyDescent="0.3">
      <c r="F3599" s="90"/>
      <c r="G3599" s="90"/>
    </row>
    <row r="3600" spans="6:7" x14ac:dyDescent="0.3">
      <c r="F3600" s="90"/>
      <c r="G3600" s="90"/>
    </row>
    <row r="3601" spans="6:7" x14ac:dyDescent="0.3">
      <c r="F3601" s="90"/>
      <c r="G3601" s="90"/>
    </row>
    <row r="3602" spans="6:7" x14ac:dyDescent="0.3">
      <c r="F3602" s="90"/>
      <c r="G3602" s="90"/>
    </row>
    <row r="3603" spans="6:7" x14ac:dyDescent="0.3">
      <c r="F3603" s="90"/>
      <c r="G3603" s="90"/>
    </row>
    <row r="3604" spans="6:7" x14ac:dyDescent="0.3">
      <c r="F3604" s="90"/>
      <c r="G3604" s="90"/>
    </row>
    <row r="3605" spans="6:7" x14ac:dyDescent="0.3">
      <c r="F3605" s="90"/>
      <c r="G3605" s="90"/>
    </row>
    <row r="3606" spans="6:7" x14ac:dyDescent="0.3">
      <c r="F3606" s="90"/>
      <c r="G3606" s="90"/>
    </row>
    <row r="3607" spans="6:7" x14ac:dyDescent="0.3">
      <c r="F3607" s="90"/>
      <c r="G3607" s="90"/>
    </row>
    <row r="3608" spans="6:7" x14ac:dyDescent="0.3">
      <c r="F3608" s="90"/>
      <c r="G3608" s="90"/>
    </row>
    <row r="3609" spans="6:7" x14ac:dyDescent="0.3">
      <c r="F3609" s="90"/>
      <c r="G3609" s="90"/>
    </row>
    <row r="3610" spans="6:7" x14ac:dyDescent="0.3">
      <c r="F3610" s="90"/>
      <c r="G3610" s="90"/>
    </row>
    <row r="3611" spans="6:7" x14ac:dyDescent="0.3">
      <c r="F3611" s="90"/>
      <c r="G3611" s="90"/>
    </row>
    <row r="3612" spans="6:7" x14ac:dyDescent="0.3">
      <c r="F3612" s="90"/>
      <c r="G3612" s="90"/>
    </row>
    <row r="3613" spans="6:7" x14ac:dyDescent="0.3">
      <c r="F3613" s="90"/>
      <c r="G3613" s="90"/>
    </row>
    <row r="3614" spans="6:7" x14ac:dyDescent="0.3">
      <c r="F3614" s="90"/>
      <c r="G3614" s="90"/>
    </row>
    <row r="3615" spans="6:7" x14ac:dyDescent="0.3">
      <c r="F3615" s="90"/>
      <c r="G3615" s="90"/>
    </row>
    <row r="3616" spans="6:7" x14ac:dyDescent="0.3">
      <c r="F3616" s="90"/>
      <c r="G3616" s="90"/>
    </row>
    <row r="3617" spans="6:7" x14ac:dyDescent="0.3">
      <c r="F3617" s="90"/>
      <c r="G3617" s="90"/>
    </row>
    <row r="3618" spans="6:7" x14ac:dyDescent="0.3">
      <c r="F3618" s="90"/>
      <c r="G3618" s="90"/>
    </row>
    <row r="3619" spans="6:7" x14ac:dyDescent="0.3">
      <c r="F3619" s="90"/>
      <c r="G3619" s="90"/>
    </row>
    <row r="3620" spans="6:7" x14ac:dyDescent="0.3">
      <c r="F3620" s="90"/>
      <c r="G3620" s="90"/>
    </row>
    <row r="3621" spans="6:7" x14ac:dyDescent="0.3">
      <c r="F3621" s="90"/>
      <c r="G3621" s="90"/>
    </row>
    <row r="3622" spans="6:7" x14ac:dyDescent="0.3">
      <c r="F3622" s="90"/>
      <c r="G3622" s="90"/>
    </row>
    <row r="3623" spans="6:7" x14ac:dyDescent="0.3">
      <c r="F3623" s="90"/>
      <c r="G3623" s="90"/>
    </row>
    <row r="3624" spans="6:7" x14ac:dyDescent="0.3">
      <c r="F3624" s="90"/>
      <c r="G3624" s="90"/>
    </row>
    <row r="3625" spans="6:7" x14ac:dyDescent="0.3">
      <c r="F3625" s="90"/>
      <c r="G3625" s="90"/>
    </row>
    <row r="3626" spans="6:7" x14ac:dyDescent="0.3">
      <c r="F3626" s="90"/>
      <c r="G3626" s="90"/>
    </row>
    <row r="3627" spans="6:7" x14ac:dyDescent="0.3">
      <c r="F3627" s="90"/>
      <c r="G3627" s="90"/>
    </row>
    <row r="3628" spans="6:7" x14ac:dyDescent="0.3">
      <c r="F3628" s="90"/>
      <c r="G3628" s="90"/>
    </row>
    <row r="3629" spans="6:7" x14ac:dyDescent="0.3">
      <c r="F3629" s="90"/>
      <c r="G3629" s="90"/>
    </row>
    <row r="3630" spans="6:7" x14ac:dyDescent="0.3">
      <c r="F3630" s="90"/>
      <c r="G3630" s="90"/>
    </row>
    <row r="3631" spans="6:7" x14ac:dyDescent="0.3">
      <c r="F3631" s="90"/>
      <c r="G3631" s="90"/>
    </row>
    <row r="3632" spans="6:7" x14ac:dyDescent="0.3">
      <c r="F3632" s="90"/>
      <c r="G3632" s="90"/>
    </row>
    <row r="3633" spans="6:7" x14ac:dyDescent="0.3">
      <c r="F3633" s="90"/>
      <c r="G3633" s="90"/>
    </row>
    <row r="3634" spans="6:7" x14ac:dyDescent="0.3">
      <c r="F3634" s="90"/>
      <c r="G3634" s="90"/>
    </row>
    <row r="3635" spans="6:7" x14ac:dyDescent="0.3">
      <c r="F3635" s="90"/>
      <c r="G3635" s="90"/>
    </row>
    <row r="3636" spans="6:7" x14ac:dyDescent="0.3">
      <c r="F3636" s="90"/>
      <c r="G3636" s="90"/>
    </row>
    <row r="3637" spans="6:7" x14ac:dyDescent="0.3">
      <c r="F3637" s="90"/>
      <c r="G3637" s="90"/>
    </row>
    <row r="3638" spans="6:7" x14ac:dyDescent="0.3">
      <c r="F3638" s="90"/>
      <c r="G3638" s="90"/>
    </row>
    <row r="3639" spans="6:7" x14ac:dyDescent="0.3">
      <c r="F3639" s="90"/>
      <c r="G3639" s="90"/>
    </row>
    <row r="3640" spans="6:7" x14ac:dyDescent="0.3">
      <c r="F3640" s="90"/>
      <c r="G3640" s="90"/>
    </row>
    <row r="3641" spans="6:7" x14ac:dyDescent="0.3">
      <c r="F3641" s="90"/>
      <c r="G3641" s="90"/>
    </row>
    <row r="3642" spans="6:7" x14ac:dyDescent="0.3">
      <c r="F3642" s="90"/>
      <c r="G3642" s="90"/>
    </row>
    <row r="3643" spans="6:7" x14ac:dyDescent="0.3">
      <c r="F3643" s="90"/>
      <c r="G3643" s="90"/>
    </row>
    <row r="3644" spans="6:7" x14ac:dyDescent="0.3">
      <c r="F3644" s="90"/>
      <c r="G3644" s="90"/>
    </row>
    <row r="3645" spans="6:7" x14ac:dyDescent="0.3">
      <c r="F3645" s="90"/>
      <c r="G3645" s="90"/>
    </row>
    <row r="3646" spans="6:7" x14ac:dyDescent="0.3">
      <c r="F3646" s="90"/>
      <c r="G3646" s="90"/>
    </row>
    <row r="3647" spans="6:7" x14ac:dyDescent="0.3">
      <c r="F3647" s="90"/>
      <c r="G3647" s="90"/>
    </row>
    <row r="3648" spans="6:7" x14ac:dyDescent="0.3">
      <c r="F3648" s="90"/>
      <c r="G3648" s="90"/>
    </row>
    <row r="3649" spans="6:7" x14ac:dyDescent="0.3">
      <c r="F3649" s="90"/>
      <c r="G3649" s="90"/>
    </row>
    <row r="3650" spans="6:7" x14ac:dyDescent="0.3">
      <c r="F3650" s="90"/>
      <c r="G3650" s="90"/>
    </row>
    <row r="3651" spans="6:7" x14ac:dyDescent="0.3">
      <c r="F3651" s="90"/>
      <c r="G3651" s="90"/>
    </row>
    <row r="3652" spans="6:7" x14ac:dyDescent="0.3">
      <c r="F3652" s="90"/>
      <c r="G3652" s="90"/>
    </row>
    <row r="3653" spans="6:7" x14ac:dyDescent="0.3">
      <c r="F3653" s="90"/>
      <c r="G3653" s="90"/>
    </row>
    <row r="3654" spans="6:7" x14ac:dyDescent="0.3">
      <c r="F3654" s="90"/>
      <c r="G3654" s="90"/>
    </row>
    <row r="3655" spans="6:7" x14ac:dyDescent="0.3">
      <c r="F3655" s="90"/>
      <c r="G3655" s="90"/>
    </row>
    <row r="3656" spans="6:7" x14ac:dyDescent="0.3">
      <c r="F3656" s="90"/>
      <c r="G3656" s="90"/>
    </row>
    <row r="3657" spans="6:7" x14ac:dyDescent="0.3">
      <c r="F3657" s="90"/>
      <c r="G3657" s="90"/>
    </row>
    <row r="3658" spans="6:7" x14ac:dyDescent="0.3">
      <c r="F3658" s="90"/>
      <c r="G3658" s="90"/>
    </row>
    <row r="3659" spans="6:7" x14ac:dyDescent="0.3">
      <c r="F3659" s="90"/>
      <c r="G3659" s="90"/>
    </row>
    <row r="3660" spans="6:7" x14ac:dyDescent="0.3">
      <c r="F3660" s="90"/>
      <c r="G3660" s="90"/>
    </row>
    <row r="3661" spans="6:7" x14ac:dyDescent="0.3">
      <c r="F3661" s="90"/>
      <c r="G3661" s="90"/>
    </row>
    <row r="3662" spans="6:7" x14ac:dyDescent="0.3">
      <c r="F3662" s="90"/>
      <c r="G3662" s="90"/>
    </row>
    <row r="3663" spans="6:7" x14ac:dyDescent="0.3">
      <c r="F3663" s="90"/>
      <c r="G3663" s="90"/>
    </row>
    <row r="3664" spans="6:7" x14ac:dyDescent="0.3">
      <c r="F3664" s="90"/>
      <c r="G3664" s="90"/>
    </row>
    <row r="3665" spans="6:7" x14ac:dyDescent="0.3">
      <c r="F3665" s="90"/>
      <c r="G3665" s="90"/>
    </row>
    <row r="3666" spans="6:7" x14ac:dyDescent="0.3">
      <c r="F3666" s="90"/>
      <c r="G3666" s="90"/>
    </row>
    <row r="3667" spans="6:7" x14ac:dyDescent="0.3">
      <c r="F3667" s="90"/>
      <c r="G3667" s="90"/>
    </row>
    <row r="3668" spans="6:7" x14ac:dyDescent="0.3">
      <c r="F3668" s="90"/>
      <c r="G3668" s="90"/>
    </row>
    <row r="3669" spans="6:7" x14ac:dyDescent="0.3">
      <c r="F3669" s="90"/>
      <c r="G3669" s="90"/>
    </row>
    <row r="3670" spans="6:7" x14ac:dyDescent="0.3">
      <c r="F3670" s="90"/>
      <c r="G3670" s="90"/>
    </row>
    <row r="3671" spans="6:7" x14ac:dyDescent="0.3">
      <c r="F3671" s="90"/>
      <c r="G3671" s="90"/>
    </row>
    <row r="3672" spans="6:7" x14ac:dyDescent="0.3">
      <c r="F3672" s="90"/>
      <c r="G3672" s="90"/>
    </row>
    <row r="3673" spans="6:7" x14ac:dyDescent="0.3">
      <c r="F3673" s="90"/>
      <c r="G3673" s="90"/>
    </row>
    <row r="3674" spans="6:7" x14ac:dyDescent="0.3">
      <c r="F3674" s="90"/>
      <c r="G3674" s="90"/>
    </row>
    <row r="3675" spans="6:7" x14ac:dyDescent="0.3">
      <c r="F3675" s="90"/>
      <c r="G3675" s="90"/>
    </row>
    <row r="3676" spans="6:7" x14ac:dyDescent="0.3">
      <c r="F3676" s="90"/>
      <c r="G3676" s="90"/>
    </row>
    <row r="3677" spans="6:7" x14ac:dyDescent="0.3">
      <c r="F3677" s="90"/>
      <c r="G3677" s="90"/>
    </row>
    <row r="3678" spans="6:7" x14ac:dyDescent="0.3">
      <c r="F3678" s="90"/>
      <c r="G3678" s="90"/>
    </row>
    <row r="3679" spans="6:7" x14ac:dyDescent="0.3">
      <c r="F3679" s="90"/>
      <c r="G3679" s="90"/>
    </row>
    <row r="3680" spans="6:7" x14ac:dyDescent="0.3">
      <c r="F3680" s="90"/>
      <c r="G3680" s="90"/>
    </row>
    <row r="3681" spans="6:7" x14ac:dyDescent="0.3">
      <c r="F3681" s="90"/>
      <c r="G3681" s="90"/>
    </row>
    <row r="3682" spans="6:7" x14ac:dyDescent="0.3">
      <c r="F3682" s="90"/>
      <c r="G3682" s="90"/>
    </row>
    <row r="3683" spans="6:7" x14ac:dyDescent="0.3">
      <c r="F3683" s="90"/>
      <c r="G3683" s="90"/>
    </row>
    <row r="3684" spans="6:7" x14ac:dyDescent="0.3">
      <c r="F3684" s="90"/>
      <c r="G3684" s="90"/>
    </row>
    <row r="3685" spans="6:7" x14ac:dyDescent="0.3">
      <c r="F3685" s="90"/>
      <c r="G3685" s="90"/>
    </row>
    <row r="3686" spans="6:7" x14ac:dyDescent="0.3">
      <c r="F3686" s="90"/>
      <c r="G3686" s="90"/>
    </row>
    <row r="3687" spans="6:7" x14ac:dyDescent="0.3">
      <c r="F3687" s="90"/>
      <c r="G3687" s="90"/>
    </row>
    <row r="3688" spans="6:7" x14ac:dyDescent="0.3">
      <c r="F3688" s="90"/>
      <c r="G3688" s="90"/>
    </row>
    <row r="3689" spans="6:7" x14ac:dyDescent="0.3">
      <c r="F3689" s="90"/>
      <c r="G3689" s="90"/>
    </row>
    <row r="3690" spans="6:7" x14ac:dyDescent="0.3">
      <c r="F3690" s="90"/>
      <c r="G3690" s="90"/>
    </row>
    <row r="3691" spans="6:7" x14ac:dyDescent="0.3">
      <c r="F3691" s="90"/>
      <c r="G3691" s="90"/>
    </row>
    <row r="3692" spans="6:7" x14ac:dyDescent="0.3">
      <c r="F3692" s="90"/>
      <c r="G3692" s="90"/>
    </row>
    <row r="3693" spans="6:7" x14ac:dyDescent="0.3">
      <c r="F3693" s="90"/>
      <c r="G3693" s="90"/>
    </row>
    <row r="3694" spans="6:7" x14ac:dyDescent="0.3">
      <c r="F3694" s="90"/>
      <c r="G3694" s="90"/>
    </row>
    <row r="3695" spans="6:7" x14ac:dyDescent="0.3">
      <c r="F3695" s="90"/>
      <c r="G3695" s="90"/>
    </row>
    <row r="3696" spans="6:7" x14ac:dyDescent="0.3">
      <c r="F3696" s="90"/>
      <c r="G3696" s="90"/>
    </row>
    <row r="3697" spans="6:7" x14ac:dyDescent="0.3">
      <c r="F3697" s="90"/>
      <c r="G3697" s="90"/>
    </row>
    <row r="3698" spans="6:7" x14ac:dyDescent="0.3">
      <c r="F3698" s="90"/>
      <c r="G3698" s="90"/>
    </row>
    <row r="3699" spans="6:7" x14ac:dyDescent="0.3">
      <c r="F3699" s="90"/>
      <c r="G3699" s="90"/>
    </row>
    <row r="3700" spans="6:7" x14ac:dyDescent="0.3">
      <c r="F3700" s="90"/>
      <c r="G3700" s="90"/>
    </row>
    <row r="3701" spans="6:7" x14ac:dyDescent="0.3">
      <c r="F3701" s="90"/>
      <c r="G3701" s="90"/>
    </row>
    <row r="3702" spans="6:7" x14ac:dyDescent="0.3">
      <c r="F3702" s="90"/>
      <c r="G3702" s="90"/>
    </row>
    <row r="3703" spans="6:7" x14ac:dyDescent="0.3">
      <c r="F3703" s="90"/>
      <c r="G3703" s="90"/>
    </row>
    <row r="3704" spans="6:7" x14ac:dyDescent="0.3">
      <c r="F3704" s="90"/>
      <c r="G3704" s="90"/>
    </row>
    <row r="3705" spans="6:7" x14ac:dyDescent="0.3">
      <c r="F3705" s="90"/>
      <c r="G3705" s="90"/>
    </row>
    <row r="3706" spans="6:7" x14ac:dyDescent="0.3">
      <c r="F3706" s="90"/>
      <c r="G3706" s="90"/>
    </row>
    <row r="3707" spans="6:7" x14ac:dyDescent="0.3">
      <c r="F3707" s="90"/>
      <c r="G3707" s="90"/>
    </row>
    <row r="3708" spans="6:7" x14ac:dyDescent="0.3">
      <c r="F3708" s="90"/>
      <c r="G3708" s="90"/>
    </row>
    <row r="3709" spans="6:7" x14ac:dyDescent="0.3">
      <c r="F3709" s="90"/>
      <c r="G3709" s="90"/>
    </row>
    <row r="3710" spans="6:7" x14ac:dyDescent="0.3">
      <c r="F3710" s="90"/>
      <c r="G3710" s="90"/>
    </row>
    <row r="3711" spans="6:7" x14ac:dyDescent="0.3">
      <c r="F3711" s="90"/>
      <c r="G3711" s="90"/>
    </row>
    <row r="3712" spans="6:7" x14ac:dyDescent="0.3">
      <c r="F3712" s="90"/>
      <c r="G3712" s="90"/>
    </row>
    <row r="3713" spans="6:7" x14ac:dyDescent="0.3">
      <c r="F3713" s="90"/>
      <c r="G3713" s="90"/>
    </row>
    <row r="3714" spans="6:7" x14ac:dyDescent="0.3">
      <c r="F3714" s="90"/>
      <c r="G3714" s="90"/>
    </row>
    <row r="3715" spans="6:7" x14ac:dyDescent="0.3">
      <c r="F3715" s="90"/>
      <c r="G3715" s="90"/>
    </row>
    <row r="3716" spans="6:7" x14ac:dyDescent="0.3">
      <c r="F3716" s="90"/>
      <c r="G3716" s="90"/>
    </row>
    <row r="3717" spans="6:7" x14ac:dyDescent="0.3">
      <c r="F3717" s="90"/>
      <c r="G3717" s="90"/>
    </row>
    <row r="3718" spans="6:7" x14ac:dyDescent="0.3">
      <c r="F3718" s="90"/>
      <c r="G3718" s="90"/>
    </row>
    <row r="3719" spans="6:7" x14ac:dyDescent="0.3">
      <c r="F3719" s="90"/>
      <c r="G3719" s="90"/>
    </row>
    <row r="3720" spans="6:7" x14ac:dyDescent="0.3">
      <c r="F3720" s="90"/>
      <c r="G3720" s="90"/>
    </row>
    <row r="3721" spans="6:7" x14ac:dyDescent="0.3">
      <c r="F3721" s="90"/>
      <c r="G3721" s="90"/>
    </row>
    <row r="3722" spans="6:7" x14ac:dyDescent="0.3">
      <c r="F3722" s="90"/>
      <c r="G3722" s="90"/>
    </row>
    <row r="3723" spans="6:7" x14ac:dyDescent="0.3">
      <c r="F3723" s="90"/>
      <c r="G3723" s="90"/>
    </row>
    <row r="3724" spans="6:7" x14ac:dyDescent="0.3">
      <c r="F3724" s="90"/>
      <c r="G3724" s="90"/>
    </row>
    <row r="3725" spans="6:7" x14ac:dyDescent="0.3">
      <c r="F3725" s="90"/>
      <c r="G3725" s="90"/>
    </row>
    <row r="3726" spans="6:7" x14ac:dyDescent="0.3">
      <c r="F3726" s="90"/>
      <c r="G3726" s="90"/>
    </row>
    <row r="3727" spans="6:7" x14ac:dyDescent="0.3">
      <c r="F3727" s="90"/>
      <c r="G3727" s="90"/>
    </row>
    <row r="3728" spans="6:7" x14ac:dyDescent="0.3">
      <c r="F3728" s="90"/>
      <c r="G3728" s="90"/>
    </row>
    <row r="3729" spans="6:7" x14ac:dyDescent="0.3">
      <c r="F3729" s="90"/>
      <c r="G3729" s="90"/>
    </row>
    <row r="3730" spans="6:7" x14ac:dyDescent="0.3">
      <c r="F3730" s="90"/>
      <c r="G3730" s="90"/>
    </row>
    <row r="3731" spans="6:7" x14ac:dyDescent="0.3">
      <c r="F3731" s="90"/>
      <c r="G3731" s="90"/>
    </row>
    <row r="3732" spans="6:7" x14ac:dyDescent="0.3">
      <c r="F3732" s="90"/>
      <c r="G3732" s="90"/>
    </row>
    <row r="3733" spans="6:7" x14ac:dyDescent="0.3">
      <c r="F3733" s="90"/>
      <c r="G3733" s="90"/>
    </row>
    <row r="3734" spans="6:7" x14ac:dyDescent="0.3">
      <c r="F3734" s="90"/>
      <c r="G3734" s="90"/>
    </row>
    <row r="3735" spans="6:7" x14ac:dyDescent="0.3">
      <c r="F3735" s="90"/>
      <c r="G3735" s="90"/>
    </row>
    <row r="3736" spans="6:7" x14ac:dyDescent="0.3">
      <c r="F3736" s="90"/>
      <c r="G3736" s="90"/>
    </row>
    <row r="3737" spans="6:7" x14ac:dyDescent="0.3">
      <c r="F3737" s="90"/>
      <c r="G3737" s="90"/>
    </row>
    <row r="3738" spans="6:7" x14ac:dyDescent="0.3">
      <c r="F3738" s="90"/>
      <c r="G3738" s="90"/>
    </row>
    <row r="3739" spans="6:7" x14ac:dyDescent="0.3">
      <c r="F3739" s="90"/>
      <c r="G3739" s="90"/>
    </row>
    <row r="3740" spans="6:7" x14ac:dyDescent="0.3">
      <c r="F3740" s="90"/>
      <c r="G3740" s="90"/>
    </row>
    <row r="3741" spans="6:7" x14ac:dyDescent="0.3">
      <c r="F3741" s="90"/>
      <c r="G3741" s="90"/>
    </row>
    <row r="3742" spans="6:7" x14ac:dyDescent="0.3">
      <c r="F3742" s="90"/>
      <c r="G3742" s="90"/>
    </row>
    <row r="3743" spans="6:7" x14ac:dyDescent="0.3">
      <c r="F3743" s="90"/>
      <c r="G3743" s="90"/>
    </row>
    <row r="3744" spans="6:7" x14ac:dyDescent="0.3">
      <c r="F3744" s="90"/>
      <c r="G3744" s="90"/>
    </row>
    <row r="3745" spans="6:7" x14ac:dyDescent="0.3">
      <c r="F3745" s="90"/>
      <c r="G3745" s="90"/>
    </row>
    <row r="3746" spans="6:7" x14ac:dyDescent="0.3">
      <c r="F3746" s="90"/>
      <c r="G3746" s="90"/>
    </row>
    <row r="3747" spans="6:7" x14ac:dyDescent="0.3">
      <c r="F3747" s="90"/>
      <c r="G3747" s="90"/>
    </row>
    <row r="3748" spans="6:7" x14ac:dyDescent="0.3">
      <c r="F3748" s="90"/>
      <c r="G3748" s="90"/>
    </row>
    <row r="3749" spans="6:7" x14ac:dyDescent="0.3">
      <c r="F3749" s="90"/>
      <c r="G3749" s="90"/>
    </row>
    <row r="3750" spans="6:7" x14ac:dyDescent="0.3">
      <c r="F3750" s="90"/>
      <c r="G3750" s="90"/>
    </row>
    <row r="3751" spans="6:7" x14ac:dyDescent="0.3">
      <c r="F3751" s="90"/>
      <c r="G3751" s="90"/>
    </row>
    <row r="3752" spans="6:7" x14ac:dyDescent="0.3">
      <c r="F3752" s="90"/>
      <c r="G3752" s="90"/>
    </row>
    <row r="3753" spans="6:7" x14ac:dyDescent="0.3">
      <c r="F3753" s="90"/>
      <c r="G3753" s="90"/>
    </row>
    <row r="3754" spans="6:7" x14ac:dyDescent="0.3">
      <c r="F3754" s="90"/>
      <c r="G3754" s="90"/>
    </row>
    <row r="3755" spans="6:7" x14ac:dyDescent="0.3">
      <c r="F3755" s="90"/>
      <c r="G3755" s="90"/>
    </row>
    <row r="3756" spans="6:7" x14ac:dyDescent="0.3">
      <c r="F3756" s="90"/>
      <c r="G3756" s="90"/>
    </row>
    <row r="3757" spans="6:7" x14ac:dyDescent="0.3">
      <c r="F3757" s="90"/>
      <c r="G3757" s="90"/>
    </row>
    <row r="3758" spans="6:7" x14ac:dyDescent="0.3">
      <c r="F3758" s="90"/>
      <c r="G3758" s="90"/>
    </row>
    <row r="3759" spans="6:7" x14ac:dyDescent="0.3">
      <c r="F3759" s="90"/>
      <c r="G3759" s="90"/>
    </row>
    <row r="3760" spans="6:7" x14ac:dyDescent="0.3">
      <c r="F3760" s="90"/>
      <c r="G3760" s="90"/>
    </row>
    <row r="3761" spans="6:7" x14ac:dyDescent="0.3">
      <c r="F3761" s="90"/>
      <c r="G3761" s="90"/>
    </row>
    <row r="3762" spans="6:7" x14ac:dyDescent="0.3">
      <c r="F3762" s="90"/>
      <c r="G3762" s="90"/>
    </row>
    <row r="3763" spans="6:7" x14ac:dyDescent="0.3">
      <c r="F3763" s="90"/>
      <c r="G3763" s="90"/>
    </row>
    <row r="3764" spans="6:7" x14ac:dyDescent="0.3">
      <c r="F3764" s="90"/>
      <c r="G3764" s="90"/>
    </row>
    <row r="3765" spans="6:7" x14ac:dyDescent="0.3">
      <c r="F3765" s="90"/>
      <c r="G3765" s="90"/>
    </row>
    <row r="3766" spans="6:7" x14ac:dyDescent="0.3">
      <c r="F3766" s="90"/>
      <c r="G3766" s="90"/>
    </row>
    <row r="3767" spans="6:7" x14ac:dyDescent="0.3">
      <c r="F3767" s="90"/>
      <c r="G3767" s="90"/>
    </row>
    <row r="3768" spans="6:7" x14ac:dyDescent="0.3">
      <c r="F3768" s="90"/>
      <c r="G3768" s="90"/>
    </row>
    <row r="3769" spans="6:7" x14ac:dyDescent="0.3">
      <c r="F3769" s="90"/>
      <c r="G3769" s="90"/>
    </row>
    <row r="3770" spans="6:7" x14ac:dyDescent="0.3">
      <c r="F3770" s="90"/>
      <c r="G3770" s="90"/>
    </row>
    <row r="3771" spans="6:7" x14ac:dyDescent="0.3">
      <c r="F3771" s="90"/>
      <c r="G3771" s="90"/>
    </row>
    <row r="3772" spans="6:7" x14ac:dyDescent="0.3">
      <c r="F3772" s="90"/>
      <c r="G3772" s="90"/>
    </row>
    <row r="3773" spans="6:7" x14ac:dyDescent="0.3">
      <c r="F3773" s="90"/>
      <c r="G3773" s="90"/>
    </row>
    <row r="3774" spans="6:7" x14ac:dyDescent="0.3">
      <c r="F3774" s="90"/>
      <c r="G3774" s="90"/>
    </row>
    <row r="3775" spans="6:7" x14ac:dyDescent="0.3">
      <c r="F3775" s="90"/>
      <c r="G3775" s="90"/>
    </row>
    <row r="3776" spans="6:7" x14ac:dyDescent="0.3">
      <c r="F3776" s="90"/>
      <c r="G3776" s="90"/>
    </row>
    <row r="3777" spans="6:7" x14ac:dyDescent="0.3">
      <c r="F3777" s="90"/>
      <c r="G3777" s="90"/>
    </row>
    <row r="3778" spans="6:7" x14ac:dyDescent="0.3">
      <c r="F3778" s="90"/>
      <c r="G3778" s="90"/>
    </row>
    <row r="3779" spans="6:7" x14ac:dyDescent="0.3">
      <c r="F3779" s="90"/>
      <c r="G3779" s="90"/>
    </row>
    <row r="3780" spans="6:7" x14ac:dyDescent="0.3">
      <c r="F3780" s="90"/>
      <c r="G3780" s="90"/>
    </row>
    <row r="3781" spans="6:7" x14ac:dyDescent="0.3">
      <c r="F3781" s="90"/>
      <c r="G3781" s="90"/>
    </row>
    <row r="3782" spans="6:7" x14ac:dyDescent="0.3">
      <c r="F3782" s="90"/>
      <c r="G3782" s="90"/>
    </row>
    <row r="3783" spans="6:7" x14ac:dyDescent="0.3">
      <c r="F3783" s="90"/>
      <c r="G3783" s="90"/>
    </row>
    <row r="3784" spans="6:7" x14ac:dyDescent="0.3">
      <c r="F3784" s="90"/>
      <c r="G3784" s="90"/>
    </row>
    <row r="3785" spans="6:7" x14ac:dyDescent="0.3">
      <c r="F3785" s="90"/>
      <c r="G3785" s="90"/>
    </row>
    <row r="3786" spans="6:7" x14ac:dyDescent="0.3">
      <c r="F3786" s="90"/>
      <c r="G3786" s="90"/>
    </row>
    <row r="3787" spans="6:7" x14ac:dyDescent="0.3">
      <c r="F3787" s="90"/>
      <c r="G3787" s="90"/>
    </row>
    <row r="3788" spans="6:7" x14ac:dyDescent="0.3">
      <c r="F3788" s="90"/>
      <c r="G3788" s="90"/>
    </row>
    <row r="3789" spans="6:7" x14ac:dyDescent="0.3">
      <c r="F3789" s="90"/>
      <c r="G3789" s="90"/>
    </row>
    <row r="3790" spans="6:7" x14ac:dyDescent="0.3">
      <c r="F3790" s="90"/>
      <c r="G3790" s="90"/>
    </row>
    <row r="3791" spans="6:7" x14ac:dyDescent="0.3">
      <c r="F3791" s="90"/>
      <c r="G3791" s="90"/>
    </row>
    <row r="3792" spans="6:7" x14ac:dyDescent="0.3">
      <c r="F3792" s="90"/>
      <c r="G3792" s="90"/>
    </row>
    <row r="3793" spans="6:7" x14ac:dyDescent="0.3">
      <c r="F3793" s="90"/>
      <c r="G3793" s="90"/>
    </row>
    <row r="3794" spans="6:7" x14ac:dyDescent="0.3">
      <c r="F3794" s="90"/>
      <c r="G3794" s="90"/>
    </row>
    <row r="3795" spans="6:7" x14ac:dyDescent="0.3">
      <c r="F3795" s="90"/>
      <c r="G3795" s="90"/>
    </row>
    <row r="3796" spans="6:7" x14ac:dyDescent="0.3">
      <c r="F3796" s="90"/>
      <c r="G3796" s="90"/>
    </row>
    <row r="3797" spans="6:7" x14ac:dyDescent="0.3">
      <c r="F3797" s="90"/>
      <c r="G3797" s="90"/>
    </row>
    <row r="3798" spans="6:7" x14ac:dyDescent="0.3">
      <c r="F3798" s="90"/>
      <c r="G3798" s="90"/>
    </row>
    <row r="3799" spans="6:7" x14ac:dyDescent="0.3">
      <c r="F3799" s="90"/>
      <c r="G3799" s="90"/>
    </row>
    <row r="3800" spans="6:7" x14ac:dyDescent="0.3">
      <c r="F3800" s="90"/>
      <c r="G3800" s="90"/>
    </row>
    <row r="3801" spans="6:7" x14ac:dyDescent="0.3">
      <c r="F3801" s="90"/>
      <c r="G3801" s="90"/>
    </row>
    <row r="3802" spans="6:7" x14ac:dyDescent="0.3">
      <c r="F3802" s="90"/>
      <c r="G3802" s="90"/>
    </row>
    <row r="3803" spans="6:7" x14ac:dyDescent="0.3">
      <c r="F3803" s="90"/>
      <c r="G3803" s="90"/>
    </row>
    <row r="3804" spans="6:7" x14ac:dyDescent="0.3">
      <c r="F3804" s="90"/>
      <c r="G3804" s="90"/>
    </row>
    <row r="3805" spans="6:7" x14ac:dyDescent="0.3">
      <c r="F3805" s="90"/>
      <c r="G3805" s="90"/>
    </row>
    <row r="3806" spans="6:7" x14ac:dyDescent="0.3">
      <c r="F3806" s="90"/>
      <c r="G3806" s="90"/>
    </row>
    <row r="3807" spans="6:7" x14ac:dyDescent="0.3">
      <c r="F3807" s="90"/>
      <c r="G3807" s="90"/>
    </row>
    <row r="3808" spans="6:7" x14ac:dyDescent="0.3">
      <c r="F3808" s="90"/>
      <c r="G3808" s="90"/>
    </row>
    <row r="3809" spans="6:7" x14ac:dyDescent="0.3">
      <c r="F3809" s="90"/>
      <c r="G3809" s="90"/>
    </row>
    <row r="3810" spans="6:7" x14ac:dyDescent="0.3">
      <c r="F3810" s="90"/>
      <c r="G3810" s="90"/>
    </row>
    <row r="3811" spans="6:7" x14ac:dyDescent="0.3">
      <c r="F3811" s="90"/>
      <c r="G3811" s="90"/>
    </row>
    <row r="3812" spans="6:7" x14ac:dyDescent="0.3">
      <c r="F3812" s="90"/>
      <c r="G3812" s="90"/>
    </row>
    <row r="3813" spans="6:7" x14ac:dyDescent="0.3">
      <c r="F3813" s="90"/>
      <c r="G3813" s="90"/>
    </row>
    <row r="3814" spans="6:7" x14ac:dyDescent="0.3">
      <c r="F3814" s="90"/>
      <c r="G3814" s="90"/>
    </row>
    <row r="3815" spans="6:7" x14ac:dyDescent="0.3">
      <c r="F3815" s="90"/>
      <c r="G3815" s="90"/>
    </row>
    <row r="3816" spans="6:7" x14ac:dyDescent="0.3">
      <c r="F3816" s="90"/>
      <c r="G3816" s="90"/>
    </row>
    <row r="3817" spans="6:7" x14ac:dyDescent="0.3">
      <c r="F3817" s="90"/>
      <c r="G3817" s="90"/>
    </row>
    <row r="3818" spans="6:7" x14ac:dyDescent="0.3">
      <c r="F3818" s="90"/>
      <c r="G3818" s="90"/>
    </row>
    <row r="3819" spans="6:7" x14ac:dyDescent="0.3">
      <c r="F3819" s="90"/>
      <c r="G3819" s="90"/>
    </row>
    <row r="3820" spans="6:7" x14ac:dyDescent="0.3">
      <c r="F3820" s="90"/>
      <c r="G3820" s="90"/>
    </row>
    <row r="3821" spans="6:7" x14ac:dyDescent="0.3">
      <c r="F3821" s="90"/>
      <c r="G3821" s="90"/>
    </row>
    <row r="3822" spans="6:7" x14ac:dyDescent="0.3">
      <c r="F3822" s="90"/>
      <c r="G3822" s="90"/>
    </row>
    <row r="3823" spans="6:7" x14ac:dyDescent="0.3">
      <c r="F3823" s="90"/>
      <c r="G3823" s="90"/>
    </row>
    <row r="3824" spans="6:7" x14ac:dyDescent="0.3">
      <c r="F3824" s="90"/>
      <c r="G3824" s="90"/>
    </row>
    <row r="3825" spans="6:7" x14ac:dyDescent="0.3">
      <c r="F3825" s="90"/>
      <c r="G3825" s="90"/>
    </row>
    <row r="3826" spans="6:7" x14ac:dyDescent="0.3">
      <c r="F3826" s="90"/>
      <c r="G3826" s="90"/>
    </row>
    <row r="3827" spans="6:7" x14ac:dyDescent="0.3">
      <c r="F3827" s="90"/>
      <c r="G3827" s="90"/>
    </row>
    <row r="3828" spans="6:7" x14ac:dyDescent="0.3">
      <c r="F3828" s="90"/>
      <c r="G3828" s="90"/>
    </row>
    <row r="3829" spans="6:7" x14ac:dyDescent="0.3">
      <c r="F3829" s="90"/>
      <c r="G3829" s="90"/>
    </row>
    <row r="3830" spans="6:7" x14ac:dyDescent="0.3">
      <c r="F3830" s="90"/>
      <c r="G3830" s="90"/>
    </row>
    <row r="3831" spans="6:7" x14ac:dyDescent="0.3">
      <c r="F3831" s="90"/>
      <c r="G3831" s="90"/>
    </row>
    <row r="3832" spans="6:7" x14ac:dyDescent="0.3">
      <c r="F3832" s="90"/>
      <c r="G3832" s="90"/>
    </row>
    <row r="3833" spans="6:7" x14ac:dyDescent="0.3">
      <c r="F3833" s="90"/>
      <c r="G3833" s="90"/>
    </row>
    <row r="3834" spans="6:7" x14ac:dyDescent="0.3">
      <c r="F3834" s="90"/>
      <c r="G3834" s="90"/>
    </row>
    <row r="3835" spans="6:7" x14ac:dyDescent="0.3">
      <c r="F3835" s="90"/>
      <c r="G3835" s="90"/>
    </row>
    <row r="3836" spans="6:7" x14ac:dyDescent="0.3">
      <c r="F3836" s="90"/>
      <c r="G3836" s="90"/>
    </row>
    <row r="3837" spans="6:7" x14ac:dyDescent="0.3">
      <c r="F3837" s="90"/>
      <c r="G3837" s="90"/>
    </row>
    <row r="3838" spans="6:7" x14ac:dyDescent="0.3">
      <c r="F3838" s="90"/>
      <c r="G3838" s="90"/>
    </row>
    <row r="3839" spans="6:7" x14ac:dyDescent="0.3">
      <c r="F3839" s="90"/>
      <c r="G3839" s="90"/>
    </row>
    <row r="3840" spans="6:7" x14ac:dyDescent="0.3">
      <c r="F3840" s="90"/>
      <c r="G3840" s="90"/>
    </row>
    <row r="3841" spans="6:7" x14ac:dyDescent="0.3">
      <c r="F3841" s="90"/>
      <c r="G3841" s="90"/>
    </row>
    <row r="3842" spans="6:7" x14ac:dyDescent="0.3">
      <c r="F3842" s="90"/>
      <c r="G3842" s="90"/>
    </row>
    <row r="3843" spans="6:7" x14ac:dyDescent="0.3">
      <c r="F3843" s="90"/>
      <c r="G3843" s="90"/>
    </row>
    <row r="3844" spans="6:7" x14ac:dyDescent="0.3">
      <c r="F3844" s="90"/>
      <c r="G3844" s="90"/>
    </row>
    <row r="3845" spans="6:7" x14ac:dyDescent="0.3">
      <c r="F3845" s="90"/>
      <c r="G3845" s="90"/>
    </row>
    <row r="3846" spans="6:7" x14ac:dyDescent="0.3">
      <c r="F3846" s="90"/>
      <c r="G3846" s="90"/>
    </row>
    <row r="3847" spans="6:7" x14ac:dyDescent="0.3">
      <c r="F3847" s="90"/>
      <c r="G3847" s="90"/>
    </row>
    <row r="3848" spans="6:7" x14ac:dyDescent="0.3">
      <c r="F3848" s="90"/>
      <c r="G3848" s="90"/>
    </row>
    <row r="3849" spans="6:7" x14ac:dyDescent="0.3">
      <c r="F3849" s="90"/>
      <c r="G3849" s="90"/>
    </row>
    <row r="3850" spans="6:7" x14ac:dyDescent="0.3">
      <c r="F3850" s="90"/>
      <c r="G3850" s="90"/>
    </row>
    <row r="3851" spans="6:7" x14ac:dyDescent="0.3">
      <c r="F3851" s="90"/>
      <c r="G3851" s="90"/>
    </row>
    <row r="3852" spans="6:7" x14ac:dyDescent="0.3">
      <c r="F3852" s="90"/>
      <c r="G3852" s="90"/>
    </row>
    <row r="3853" spans="6:7" x14ac:dyDescent="0.3">
      <c r="F3853" s="90"/>
      <c r="G3853" s="90"/>
    </row>
    <row r="3854" spans="6:7" x14ac:dyDescent="0.3">
      <c r="F3854" s="90"/>
      <c r="G3854" s="90"/>
    </row>
    <row r="3855" spans="6:7" x14ac:dyDescent="0.3">
      <c r="F3855" s="90"/>
      <c r="G3855" s="90"/>
    </row>
    <row r="3856" spans="6:7" x14ac:dyDescent="0.3">
      <c r="F3856" s="90"/>
      <c r="G3856" s="90"/>
    </row>
    <row r="3857" spans="6:7" x14ac:dyDescent="0.3">
      <c r="F3857" s="90"/>
      <c r="G3857" s="90"/>
    </row>
    <row r="3858" spans="6:7" x14ac:dyDescent="0.3">
      <c r="F3858" s="90"/>
      <c r="G3858" s="90"/>
    </row>
    <row r="3859" spans="6:7" x14ac:dyDescent="0.3">
      <c r="F3859" s="90"/>
      <c r="G3859" s="90"/>
    </row>
    <row r="3860" spans="6:7" x14ac:dyDescent="0.3">
      <c r="F3860" s="90"/>
      <c r="G3860" s="90"/>
    </row>
    <row r="3861" spans="6:7" x14ac:dyDescent="0.3">
      <c r="F3861" s="90"/>
      <c r="G3861" s="90"/>
    </row>
    <row r="3862" spans="6:7" x14ac:dyDescent="0.3">
      <c r="F3862" s="90"/>
      <c r="G3862" s="90"/>
    </row>
    <row r="3863" spans="6:7" x14ac:dyDescent="0.3">
      <c r="F3863" s="90"/>
      <c r="G3863" s="90"/>
    </row>
    <row r="3864" spans="6:7" x14ac:dyDescent="0.3">
      <c r="F3864" s="90"/>
      <c r="G3864" s="90"/>
    </row>
    <row r="3865" spans="6:7" x14ac:dyDescent="0.3">
      <c r="F3865" s="90"/>
      <c r="G3865" s="90"/>
    </row>
    <row r="3866" spans="6:7" x14ac:dyDescent="0.3">
      <c r="F3866" s="90"/>
      <c r="G3866" s="90"/>
    </row>
    <row r="3867" spans="6:7" x14ac:dyDescent="0.3">
      <c r="F3867" s="90"/>
      <c r="G3867" s="90"/>
    </row>
    <row r="3868" spans="6:7" x14ac:dyDescent="0.3">
      <c r="F3868" s="90"/>
      <c r="G3868" s="90"/>
    </row>
    <row r="3869" spans="6:7" x14ac:dyDescent="0.3">
      <c r="F3869" s="90"/>
      <c r="G3869" s="90"/>
    </row>
    <row r="3870" spans="6:7" x14ac:dyDescent="0.3">
      <c r="F3870" s="90"/>
      <c r="G3870" s="90"/>
    </row>
    <row r="3871" spans="6:7" x14ac:dyDescent="0.3">
      <c r="F3871" s="90"/>
      <c r="G3871" s="90"/>
    </row>
    <row r="3872" spans="6:7" x14ac:dyDescent="0.3">
      <c r="F3872" s="90"/>
      <c r="G3872" s="90"/>
    </row>
    <row r="3873" spans="6:7" x14ac:dyDescent="0.3">
      <c r="F3873" s="90"/>
      <c r="G3873" s="90"/>
    </row>
    <row r="3874" spans="6:7" x14ac:dyDescent="0.3">
      <c r="F3874" s="90"/>
      <c r="G3874" s="90"/>
    </row>
    <row r="3875" spans="6:7" x14ac:dyDescent="0.3">
      <c r="F3875" s="90"/>
      <c r="G3875" s="90"/>
    </row>
    <row r="3876" spans="6:7" x14ac:dyDescent="0.3">
      <c r="F3876" s="90"/>
      <c r="G3876" s="90"/>
    </row>
    <row r="3877" spans="6:7" x14ac:dyDescent="0.3">
      <c r="F3877" s="90"/>
      <c r="G3877" s="90"/>
    </row>
    <row r="3878" spans="6:7" x14ac:dyDescent="0.3">
      <c r="F3878" s="90"/>
      <c r="G3878" s="90"/>
    </row>
    <row r="3879" spans="6:7" x14ac:dyDescent="0.3">
      <c r="F3879" s="90"/>
      <c r="G3879" s="90"/>
    </row>
    <row r="3880" spans="6:7" x14ac:dyDescent="0.3">
      <c r="F3880" s="90"/>
      <c r="G3880" s="90"/>
    </row>
    <row r="3881" spans="6:7" x14ac:dyDescent="0.3">
      <c r="F3881" s="90"/>
      <c r="G3881" s="90"/>
    </row>
    <row r="3882" spans="6:7" x14ac:dyDescent="0.3">
      <c r="F3882" s="90"/>
      <c r="G3882" s="90"/>
    </row>
    <row r="3883" spans="6:7" x14ac:dyDescent="0.3">
      <c r="F3883" s="90"/>
      <c r="G3883" s="90"/>
    </row>
    <row r="3884" spans="6:7" x14ac:dyDescent="0.3">
      <c r="F3884" s="90"/>
      <c r="G3884" s="90"/>
    </row>
    <row r="3885" spans="6:7" x14ac:dyDescent="0.3">
      <c r="F3885" s="90"/>
      <c r="G3885" s="90"/>
    </row>
    <row r="3886" spans="6:7" x14ac:dyDescent="0.3">
      <c r="F3886" s="90"/>
      <c r="G3886" s="90"/>
    </row>
    <row r="3887" spans="6:7" x14ac:dyDescent="0.3">
      <c r="F3887" s="90"/>
      <c r="G3887" s="90"/>
    </row>
    <row r="3888" spans="6:7" x14ac:dyDescent="0.3">
      <c r="F3888" s="90"/>
      <c r="G3888" s="90"/>
    </row>
    <row r="3889" spans="6:7" x14ac:dyDescent="0.3">
      <c r="F3889" s="90"/>
      <c r="G3889" s="90"/>
    </row>
    <row r="3890" spans="6:7" x14ac:dyDescent="0.3">
      <c r="F3890" s="90"/>
      <c r="G3890" s="90"/>
    </row>
    <row r="3891" spans="6:7" x14ac:dyDescent="0.3">
      <c r="F3891" s="90"/>
      <c r="G3891" s="90"/>
    </row>
    <row r="3892" spans="6:7" x14ac:dyDescent="0.3">
      <c r="F3892" s="90"/>
      <c r="G3892" s="90"/>
    </row>
    <row r="3893" spans="6:7" x14ac:dyDescent="0.3">
      <c r="F3893" s="90"/>
      <c r="G3893" s="90"/>
    </row>
    <row r="3894" spans="6:7" x14ac:dyDescent="0.3">
      <c r="F3894" s="90"/>
      <c r="G3894" s="90"/>
    </row>
    <row r="3895" spans="6:7" x14ac:dyDescent="0.3">
      <c r="F3895" s="90"/>
      <c r="G3895" s="90"/>
    </row>
    <row r="3896" spans="6:7" x14ac:dyDescent="0.3">
      <c r="F3896" s="90"/>
      <c r="G3896" s="90"/>
    </row>
    <row r="3897" spans="6:7" x14ac:dyDescent="0.3">
      <c r="F3897" s="90"/>
      <c r="G3897" s="90"/>
    </row>
    <row r="3898" spans="6:7" x14ac:dyDescent="0.3">
      <c r="F3898" s="90"/>
      <c r="G3898" s="90"/>
    </row>
    <row r="3899" spans="6:7" x14ac:dyDescent="0.3">
      <c r="F3899" s="90"/>
      <c r="G3899" s="90"/>
    </row>
    <row r="3900" spans="6:7" x14ac:dyDescent="0.3">
      <c r="F3900" s="90"/>
      <c r="G3900" s="90"/>
    </row>
    <row r="3901" spans="6:7" x14ac:dyDescent="0.3">
      <c r="F3901" s="90"/>
      <c r="G3901" s="90"/>
    </row>
    <row r="3902" spans="6:7" x14ac:dyDescent="0.3">
      <c r="F3902" s="90"/>
      <c r="G3902" s="90"/>
    </row>
    <row r="3903" spans="6:7" x14ac:dyDescent="0.3">
      <c r="F3903" s="90"/>
      <c r="G3903" s="90"/>
    </row>
    <row r="3904" spans="6:7" x14ac:dyDescent="0.3">
      <c r="F3904" s="90"/>
      <c r="G3904" s="90"/>
    </row>
    <row r="3905" spans="6:7" x14ac:dyDescent="0.3">
      <c r="F3905" s="90"/>
      <c r="G3905" s="90"/>
    </row>
    <row r="3906" spans="6:7" x14ac:dyDescent="0.3">
      <c r="F3906" s="90"/>
      <c r="G3906" s="90"/>
    </row>
    <row r="3907" spans="6:7" x14ac:dyDescent="0.3">
      <c r="F3907" s="90"/>
      <c r="G3907" s="90"/>
    </row>
    <row r="3908" spans="6:7" x14ac:dyDescent="0.3">
      <c r="F3908" s="90"/>
      <c r="G3908" s="90"/>
    </row>
    <row r="3909" spans="6:7" x14ac:dyDescent="0.3">
      <c r="F3909" s="90"/>
      <c r="G3909" s="90"/>
    </row>
    <row r="3910" spans="6:7" x14ac:dyDescent="0.3">
      <c r="F3910" s="90"/>
      <c r="G3910" s="90"/>
    </row>
    <row r="3911" spans="6:7" x14ac:dyDescent="0.3">
      <c r="F3911" s="90"/>
      <c r="G3911" s="90"/>
    </row>
    <row r="3912" spans="6:7" x14ac:dyDescent="0.3">
      <c r="F3912" s="90"/>
      <c r="G3912" s="90"/>
    </row>
    <row r="3913" spans="6:7" x14ac:dyDescent="0.3">
      <c r="F3913" s="90"/>
      <c r="G3913" s="90"/>
    </row>
    <row r="3914" spans="6:7" x14ac:dyDescent="0.3">
      <c r="F3914" s="90"/>
      <c r="G3914" s="90"/>
    </row>
    <row r="3915" spans="6:7" x14ac:dyDescent="0.3">
      <c r="F3915" s="90"/>
      <c r="G3915" s="90"/>
    </row>
    <row r="3916" spans="6:7" x14ac:dyDescent="0.3">
      <c r="F3916" s="90"/>
      <c r="G3916" s="90"/>
    </row>
    <row r="3917" spans="6:7" x14ac:dyDescent="0.3">
      <c r="F3917" s="90"/>
      <c r="G3917" s="90"/>
    </row>
    <row r="3918" spans="6:7" x14ac:dyDescent="0.3">
      <c r="F3918" s="90"/>
      <c r="G3918" s="90"/>
    </row>
    <row r="3919" spans="6:7" x14ac:dyDescent="0.3">
      <c r="F3919" s="90"/>
      <c r="G3919" s="90"/>
    </row>
    <row r="3920" spans="6:7" x14ac:dyDescent="0.3">
      <c r="F3920" s="90"/>
      <c r="G3920" s="90"/>
    </row>
    <row r="3921" spans="6:7" x14ac:dyDescent="0.3">
      <c r="F3921" s="90"/>
      <c r="G3921" s="90"/>
    </row>
    <row r="3922" spans="6:7" x14ac:dyDescent="0.3">
      <c r="F3922" s="90"/>
      <c r="G3922" s="90"/>
    </row>
    <row r="3923" spans="6:7" x14ac:dyDescent="0.3">
      <c r="F3923" s="90"/>
      <c r="G3923" s="90"/>
    </row>
    <row r="3924" spans="6:7" x14ac:dyDescent="0.3">
      <c r="F3924" s="90"/>
      <c r="G3924" s="90"/>
    </row>
    <row r="3925" spans="6:7" x14ac:dyDescent="0.3">
      <c r="F3925" s="90"/>
      <c r="G3925" s="90"/>
    </row>
    <row r="3926" spans="6:7" x14ac:dyDescent="0.3">
      <c r="F3926" s="90"/>
      <c r="G3926" s="90"/>
    </row>
    <row r="3927" spans="6:7" x14ac:dyDescent="0.3">
      <c r="F3927" s="90"/>
      <c r="G3927" s="90"/>
    </row>
    <row r="3928" spans="6:7" x14ac:dyDescent="0.3">
      <c r="F3928" s="90"/>
      <c r="G3928" s="90"/>
    </row>
    <row r="3929" spans="6:7" x14ac:dyDescent="0.3">
      <c r="F3929" s="90"/>
      <c r="G3929" s="90"/>
    </row>
    <row r="3930" spans="6:7" x14ac:dyDescent="0.3">
      <c r="F3930" s="90"/>
      <c r="G3930" s="90"/>
    </row>
    <row r="3931" spans="6:7" x14ac:dyDescent="0.3">
      <c r="F3931" s="90"/>
      <c r="G3931" s="90"/>
    </row>
    <row r="3932" spans="6:7" x14ac:dyDescent="0.3">
      <c r="F3932" s="90"/>
      <c r="G3932" s="90"/>
    </row>
    <row r="3933" spans="6:7" x14ac:dyDescent="0.3">
      <c r="F3933" s="90"/>
      <c r="G3933" s="90"/>
    </row>
    <row r="3934" spans="6:7" x14ac:dyDescent="0.3">
      <c r="F3934" s="90"/>
      <c r="G3934" s="90"/>
    </row>
    <row r="3935" spans="6:7" x14ac:dyDescent="0.3">
      <c r="F3935" s="90"/>
      <c r="G3935" s="90"/>
    </row>
    <row r="3936" spans="6:7" x14ac:dyDescent="0.3">
      <c r="F3936" s="90"/>
      <c r="G3936" s="90"/>
    </row>
    <row r="3937" spans="6:7" x14ac:dyDescent="0.3">
      <c r="F3937" s="90"/>
      <c r="G3937" s="90"/>
    </row>
    <row r="3938" spans="6:7" x14ac:dyDescent="0.3">
      <c r="F3938" s="90"/>
      <c r="G3938" s="90"/>
    </row>
    <row r="3939" spans="6:7" x14ac:dyDescent="0.3">
      <c r="F3939" s="90"/>
      <c r="G3939" s="90"/>
    </row>
    <row r="3940" spans="6:7" x14ac:dyDescent="0.3">
      <c r="F3940" s="90"/>
      <c r="G3940" s="90"/>
    </row>
    <row r="3941" spans="6:7" x14ac:dyDescent="0.3">
      <c r="F3941" s="90"/>
      <c r="G3941" s="90"/>
    </row>
    <row r="3942" spans="6:7" x14ac:dyDescent="0.3">
      <c r="F3942" s="90"/>
      <c r="G3942" s="90"/>
    </row>
    <row r="3943" spans="6:7" x14ac:dyDescent="0.3">
      <c r="F3943" s="90"/>
      <c r="G3943" s="90"/>
    </row>
    <row r="3944" spans="6:7" x14ac:dyDescent="0.3">
      <c r="F3944" s="90"/>
      <c r="G3944" s="90"/>
    </row>
    <row r="3945" spans="6:7" x14ac:dyDescent="0.3">
      <c r="F3945" s="90"/>
      <c r="G3945" s="90"/>
    </row>
    <row r="3946" spans="6:7" x14ac:dyDescent="0.3">
      <c r="F3946" s="90"/>
      <c r="G3946" s="90"/>
    </row>
    <row r="3947" spans="6:7" x14ac:dyDescent="0.3">
      <c r="F3947" s="90"/>
      <c r="G3947" s="90"/>
    </row>
    <row r="3948" spans="6:7" x14ac:dyDescent="0.3">
      <c r="F3948" s="90"/>
      <c r="G3948" s="90"/>
    </row>
    <row r="3949" spans="6:7" x14ac:dyDescent="0.3">
      <c r="F3949" s="90"/>
      <c r="G3949" s="90"/>
    </row>
    <row r="3950" spans="6:7" x14ac:dyDescent="0.3">
      <c r="F3950" s="90"/>
      <c r="G3950" s="90"/>
    </row>
    <row r="3951" spans="6:7" x14ac:dyDescent="0.3">
      <c r="F3951" s="90"/>
      <c r="G3951" s="90"/>
    </row>
    <row r="3952" spans="6:7" x14ac:dyDescent="0.3">
      <c r="F3952" s="90"/>
      <c r="G3952" s="90"/>
    </row>
    <row r="3953" spans="6:7" x14ac:dyDescent="0.3">
      <c r="F3953" s="90"/>
      <c r="G3953" s="90"/>
    </row>
    <row r="3954" spans="6:7" x14ac:dyDescent="0.3">
      <c r="F3954" s="90"/>
      <c r="G3954" s="90"/>
    </row>
    <row r="3955" spans="6:7" x14ac:dyDescent="0.3">
      <c r="F3955" s="90"/>
      <c r="G3955" s="90"/>
    </row>
    <row r="3956" spans="6:7" x14ac:dyDescent="0.3">
      <c r="F3956" s="90"/>
      <c r="G3956" s="90"/>
    </row>
    <row r="3957" spans="6:7" x14ac:dyDescent="0.3">
      <c r="F3957" s="90"/>
      <c r="G3957" s="90"/>
    </row>
    <row r="3958" spans="6:7" x14ac:dyDescent="0.3">
      <c r="F3958" s="90"/>
      <c r="G3958" s="90"/>
    </row>
    <row r="3959" spans="6:7" x14ac:dyDescent="0.3">
      <c r="F3959" s="90"/>
      <c r="G3959" s="90"/>
    </row>
    <row r="3960" spans="6:7" x14ac:dyDescent="0.3">
      <c r="F3960" s="90"/>
      <c r="G3960" s="90"/>
    </row>
    <row r="3961" spans="6:7" x14ac:dyDescent="0.3">
      <c r="F3961" s="90"/>
      <c r="G3961" s="90"/>
    </row>
    <row r="3962" spans="6:7" x14ac:dyDescent="0.3">
      <c r="F3962" s="90"/>
      <c r="G3962" s="90"/>
    </row>
    <row r="3963" spans="6:7" x14ac:dyDescent="0.3">
      <c r="F3963" s="90"/>
      <c r="G3963" s="90"/>
    </row>
    <row r="3964" spans="6:7" x14ac:dyDescent="0.3">
      <c r="F3964" s="90"/>
      <c r="G3964" s="90"/>
    </row>
    <row r="3965" spans="6:7" x14ac:dyDescent="0.3">
      <c r="F3965" s="90"/>
      <c r="G3965" s="90"/>
    </row>
    <row r="3966" spans="6:7" x14ac:dyDescent="0.3">
      <c r="F3966" s="90"/>
      <c r="G3966" s="90"/>
    </row>
    <row r="3967" spans="6:7" x14ac:dyDescent="0.3">
      <c r="F3967" s="90"/>
      <c r="G3967" s="90"/>
    </row>
    <row r="3968" spans="6:7" x14ac:dyDescent="0.3">
      <c r="F3968" s="90"/>
      <c r="G3968" s="90"/>
    </row>
    <row r="3969" spans="6:7" x14ac:dyDescent="0.3">
      <c r="F3969" s="90"/>
      <c r="G3969" s="90"/>
    </row>
    <row r="3970" spans="6:7" x14ac:dyDescent="0.3">
      <c r="F3970" s="90"/>
      <c r="G3970" s="90"/>
    </row>
    <row r="3971" spans="6:7" x14ac:dyDescent="0.3">
      <c r="F3971" s="90"/>
      <c r="G3971" s="90"/>
    </row>
    <row r="3972" spans="6:7" x14ac:dyDescent="0.3">
      <c r="F3972" s="90"/>
      <c r="G3972" s="90"/>
    </row>
    <row r="3973" spans="6:7" x14ac:dyDescent="0.3">
      <c r="F3973" s="90"/>
      <c r="G3973" s="90"/>
    </row>
    <row r="3974" spans="6:7" x14ac:dyDescent="0.3">
      <c r="F3974" s="90"/>
      <c r="G3974" s="90"/>
    </row>
    <row r="3975" spans="6:7" x14ac:dyDescent="0.3">
      <c r="F3975" s="90"/>
      <c r="G3975" s="90"/>
    </row>
    <row r="3976" spans="6:7" x14ac:dyDescent="0.3">
      <c r="F3976" s="90"/>
      <c r="G3976" s="90"/>
    </row>
    <row r="3977" spans="6:7" x14ac:dyDescent="0.3">
      <c r="F3977" s="90"/>
      <c r="G3977" s="90"/>
    </row>
    <row r="3978" spans="6:7" x14ac:dyDescent="0.3">
      <c r="F3978" s="90"/>
      <c r="G3978" s="90"/>
    </row>
    <row r="3979" spans="6:7" x14ac:dyDescent="0.3">
      <c r="F3979" s="90"/>
      <c r="G3979" s="90"/>
    </row>
    <row r="3980" spans="6:7" x14ac:dyDescent="0.3">
      <c r="F3980" s="90"/>
      <c r="G3980" s="90"/>
    </row>
    <row r="3981" spans="6:7" x14ac:dyDescent="0.3">
      <c r="F3981" s="90"/>
      <c r="G3981" s="90"/>
    </row>
    <row r="3982" spans="6:7" x14ac:dyDescent="0.3">
      <c r="F3982" s="90"/>
      <c r="G3982" s="90"/>
    </row>
    <row r="3983" spans="6:7" x14ac:dyDescent="0.3">
      <c r="F3983" s="90"/>
      <c r="G3983" s="90"/>
    </row>
    <row r="3984" spans="6:7" x14ac:dyDescent="0.3">
      <c r="F3984" s="90"/>
      <c r="G3984" s="90"/>
    </row>
    <row r="3985" spans="6:7" x14ac:dyDescent="0.3">
      <c r="F3985" s="90"/>
      <c r="G3985" s="90"/>
    </row>
    <row r="3986" spans="6:7" x14ac:dyDescent="0.3">
      <c r="F3986" s="90"/>
      <c r="G3986" s="90"/>
    </row>
    <row r="3987" spans="6:7" x14ac:dyDescent="0.3">
      <c r="F3987" s="90"/>
      <c r="G3987" s="90"/>
    </row>
    <row r="3988" spans="6:7" x14ac:dyDescent="0.3">
      <c r="F3988" s="90"/>
      <c r="G3988" s="90"/>
    </row>
    <row r="3989" spans="6:7" x14ac:dyDescent="0.3">
      <c r="F3989" s="90"/>
      <c r="G3989" s="90"/>
    </row>
    <row r="3990" spans="6:7" x14ac:dyDescent="0.3">
      <c r="F3990" s="90"/>
      <c r="G3990" s="90"/>
    </row>
    <row r="3991" spans="6:7" x14ac:dyDescent="0.3">
      <c r="F3991" s="90"/>
      <c r="G3991" s="90"/>
    </row>
    <row r="3992" spans="6:7" x14ac:dyDescent="0.3">
      <c r="F3992" s="90"/>
      <c r="G3992" s="90"/>
    </row>
    <row r="3993" spans="6:7" x14ac:dyDescent="0.3">
      <c r="F3993" s="90"/>
      <c r="G3993" s="90"/>
    </row>
    <row r="3994" spans="6:7" x14ac:dyDescent="0.3">
      <c r="F3994" s="90"/>
      <c r="G3994" s="90"/>
    </row>
    <row r="3995" spans="6:7" x14ac:dyDescent="0.3">
      <c r="F3995" s="90"/>
      <c r="G3995" s="90"/>
    </row>
    <row r="3996" spans="6:7" x14ac:dyDescent="0.3">
      <c r="F3996" s="90"/>
      <c r="G3996" s="90"/>
    </row>
    <row r="3997" spans="6:7" x14ac:dyDescent="0.3">
      <c r="F3997" s="90"/>
      <c r="G3997" s="90"/>
    </row>
    <row r="3998" spans="6:7" x14ac:dyDescent="0.3">
      <c r="F3998" s="90"/>
      <c r="G3998" s="90"/>
    </row>
    <row r="3999" spans="6:7" x14ac:dyDescent="0.3">
      <c r="F3999" s="90"/>
      <c r="G3999" s="90"/>
    </row>
    <row r="4000" spans="6:7" x14ac:dyDescent="0.3">
      <c r="F4000" s="90"/>
      <c r="G4000" s="90"/>
    </row>
    <row r="4001" spans="6:7" x14ac:dyDescent="0.3">
      <c r="F4001" s="90"/>
      <c r="G4001" s="90"/>
    </row>
    <row r="4002" spans="6:7" x14ac:dyDescent="0.3">
      <c r="F4002" s="90"/>
      <c r="G4002" s="90"/>
    </row>
    <row r="4003" spans="6:7" x14ac:dyDescent="0.3">
      <c r="F4003" s="90"/>
      <c r="G4003" s="90"/>
    </row>
    <row r="4004" spans="6:7" x14ac:dyDescent="0.3">
      <c r="F4004" s="90"/>
      <c r="G4004" s="90"/>
    </row>
    <row r="4005" spans="6:7" x14ac:dyDescent="0.3">
      <c r="F4005" s="90"/>
      <c r="G4005" s="90"/>
    </row>
    <row r="4006" spans="6:7" x14ac:dyDescent="0.3">
      <c r="F4006" s="90"/>
      <c r="G4006" s="90"/>
    </row>
    <row r="4007" spans="6:7" x14ac:dyDescent="0.3">
      <c r="F4007" s="90"/>
      <c r="G4007" s="90"/>
    </row>
    <row r="4008" spans="6:7" x14ac:dyDescent="0.3">
      <c r="F4008" s="90"/>
      <c r="G4008" s="90"/>
    </row>
    <row r="4009" spans="6:7" x14ac:dyDescent="0.3">
      <c r="F4009" s="90"/>
      <c r="G4009" s="90"/>
    </row>
    <row r="4010" spans="6:7" x14ac:dyDescent="0.3">
      <c r="F4010" s="90"/>
      <c r="G4010" s="90"/>
    </row>
    <row r="4011" spans="6:7" x14ac:dyDescent="0.3">
      <c r="F4011" s="90"/>
      <c r="G4011" s="90"/>
    </row>
    <row r="4012" spans="6:7" x14ac:dyDescent="0.3">
      <c r="F4012" s="90"/>
      <c r="G4012" s="90"/>
    </row>
    <row r="4013" spans="6:7" x14ac:dyDescent="0.3">
      <c r="F4013" s="90"/>
      <c r="G4013" s="90"/>
    </row>
    <row r="4014" spans="6:7" x14ac:dyDescent="0.3">
      <c r="F4014" s="90"/>
      <c r="G4014" s="90"/>
    </row>
    <row r="4015" spans="6:7" x14ac:dyDescent="0.3">
      <c r="F4015" s="90"/>
      <c r="G4015" s="90"/>
    </row>
    <row r="4016" spans="6:7" x14ac:dyDescent="0.3">
      <c r="F4016" s="90"/>
      <c r="G4016" s="90"/>
    </row>
    <row r="4017" spans="6:7" x14ac:dyDescent="0.3">
      <c r="F4017" s="90"/>
      <c r="G4017" s="90"/>
    </row>
    <row r="4018" spans="6:7" x14ac:dyDescent="0.3">
      <c r="F4018" s="90"/>
      <c r="G4018" s="90"/>
    </row>
    <row r="4019" spans="6:7" x14ac:dyDescent="0.3">
      <c r="F4019" s="90"/>
      <c r="G4019" s="90"/>
    </row>
    <row r="4020" spans="6:7" x14ac:dyDescent="0.3">
      <c r="F4020" s="90"/>
      <c r="G4020" s="90"/>
    </row>
    <row r="4021" spans="6:7" x14ac:dyDescent="0.3">
      <c r="F4021" s="90"/>
      <c r="G4021" s="90"/>
    </row>
    <row r="4022" spans="6:7" x14ac:dyDescent="0.3">
      <c r="F4022" s="90"/>
      <c r="G4022" s="90"/>
    </row>
    <row r="4023" spans="6:7" x14ac:dyDescent="0.3">
      <c r="F4023" s="90"/>
      <c r="G4023" s="90"/>
    </row>
    <row r="4024" spans="6:7" x14ac:dyDescent="0.3">
      <c r="F4024" s="90"/>
      <c r="G4024" s="90"/>
    </row>
    <row r="4025" spans="6:7" x14ac:dyDescent="0.3">
      <c r="F4025" s="90"/>
      <c r="G4025" s="90"/>
    </row>
    <row r="4026" spans="6:7" x14ac:dyDescent="0.3">
      <c r="F4026" s="90"/>
      <c r="G4026" s="90"/>
    </row>
    <row r="4027" spans="6:7" x14ac:dyDescent="0.3">
      <c r="F4027" s="90"/>
      <c r="G4027" s="90"/>
    </row>
    <row r="4028" spans="6:7" x14ac:dyDescent="0.3">
      <c r="F4028" s="90"/>
      <c r="G4028" s="90"/>
    </row>
    <row r="4029" spans="6:7" x14ac:dyDescent="0.3">
      <c r="F4029" s="90"/>
      <c r="G4029" s="90"/>
    </row>
    <row r="4030" spans="6:7" x14ac:dyDescent="0.3">
      <c r="F4030" s="90"/>
      <c r="G4030" s="90"/>
    </row>
    <row r="4031" spans="6:7" x14ac:dyDescent="0.3">
      <c r="F4031" s="90"/>
      <c r="G4031" s="90"/>
    </row>
    <row r="4032" spans="6:7" x14ac:dyDescent="0.3">
      <c r="F4032" s="90"/>
      <c r="G4032" s="90"/>
    </row>
    <row r="4033" spans="6:7" x14ac:dyDescent="0.3">
      <c r="F4033" s="90"/>
      <c r="G4033" s="90"/>
    </row>
    <row r="4034" spans="6:7" x14ac:dyDescent="0.3">
      <c r="F4034" s="90"/>
      <c r="G4034" s="90"/>
    </row>
    <row r="4035" spans="6:7" x14ac:dyDescent="0.3">
      <c r="F4035" s="90"/>
      <c r="G4035" s="90"/>
    </row>
    <row r="4036" spans="6:7" x14ac:dyDescent="0.3">
      <c r="F4036" s="90"/>
      <c r="G4036" s="90"/>
    </row>
    <row r="4037" spans="6:7" x14ac:dyDescent="0.3">
      <c r="F4037" s="90"/>
      <c r="G4037" s="90"/>
    </row>
    <row r="4038" spans="6:7" x14ac:dyDescent="0.3">
      <c r="F4038" s="90"/>
      <c r="G4038" s="90"/>
    </row>
    <row r="4039" spans="6:7" x14ac:dyDescent="0.3">
      <c r="F4039" s="90"/>
      <c r="G4039" s="90"/>
    </row>
    <row r="4040" spans="6:7" x14ac:dyDescent="0.3">
      <c r="F4040" s="90"/>
      <c r="G4040" s="90"/>
    </row>
    <row r="4041" spans="6:7" x14ac:dyDescent="0.3">
      <c r="F4041" s="90"/>
      <c r="G4041" s="90"/>
    </row>
    <row r="4042" spans="6:7" x14ac:dyDescent="0.3">
      <c r="F4042" s="90"/>
      <c r="G4042" s="90"/>
    </row>
    <row r="4043" spans="6:7" x14ac:dyDescent="0.3">
      <c r="F4043" s="90"/>
      <c r="G4043" s="90"/>
    </row>
    <row r="4044" spans="6:7" x14ac:dyDescent="0.3">
      <c r="F4044" s="90"/>
      <c r="G4044" s="90"/>
    </row>
    <row r="4045" spans="6:7" x14ac:dyDescent="0.3">
      <c r="F4045" s="90"/>
      <c r="G4045" s="90"/>
    </row>
    <row r="4046" spans="6:7" x14ac:dyDescent="0.3">
      <c r="F4046" s="90"/>
      <c r="G4046" s="90"/>
    </row>
    <row r="4047" spans="6:7" x14ac:dyDescent="0.3">
      <c r="F4047" s="90"/>
      <c r="G4047" s="90"/>
    </row>
    <row r="4048" spans="6:7" x14ac:dyDescent="0.3">
      <c r="F4048" s="90"/>
      <c r="G4048" s="90"/>
    </row>
    <row r="4049" spans="6:7" x14ac:dyDescent="0.3">
      <c r="F4049" s="90"/>
      <c r="G4049" s="90"/>
    </row>
    <row r="4050" spans="6:7" x14ac:dyDescent="0.3">
      <c r="F4050" s="90"/>
      <c r="G4050" s="90"/>
    </row>
    <row r="4051" spans="6:7" x14ac:dyDescent="0.3">
      <c r="F4051" s="90"/>
      <c r="G4051" s="90"/>
    </row>
    <row r="4052" spans="6:7" x14ac:dyDescent="0.3">
      <c r="F4052" s="90"/>
      <c r="G4052" s="90"/>
    </row>
    <row r="4053" spans="6:7" x14ac:dyDescent="0.3">
      <c r="F4053" s="90"/>
      <c r="G4053" s="90"/>
    </row>
    <row r="4054" spans="6:7" x14ac:dyDescent="0.3">
      <c r="F4054" s="90"/>
      <c r="G4054" s="90"/>
    </row>
    <row r="4055" spans="6:7" x14ac:dyDescent="0.3">
      <c r="F4055" s="90"/>
      <c r="G4055" s="90"/>
    </row>
    <row r="4056" spans="6:7" x14ac:dyDescent="0.3">
      <c r="F4056" s="90"/>
      <c r="G4056" s="90"/>
    </row>
    <row r="4057" spans="6:7" x14ac:dyDescent="0.3">
      <c r="F4057" s="90"/>
      <c r="G4057" s="90"/>
    </row>
    <row r="4058" spans="6:7" x14ac:dyDescent="0.3">
      <c r="F4058" s="90"/>
      <c r="G4058" s="90"/>
    </row>
    <row r="4059" spans="6:7" x14ac:dyDescent="0.3">
      <c r="F4059" s="90"/>
      <c r="G4059" s="90"/>
    </row>
    <row r="4060" spans="6:7" x14ac:dyDescent="0.3">
      <c r="F4060" s="90"/>
      <c r="G4060" s="90"/>
    </row>
    <row r="4061" spans="6:7" x14ac:dyDescent="0.3">
      <c r="F4061" s="90"/>
      <c r="G4061" s="90"/>
    </row>
    <row r="4062" spans="6:7" x14ac:dyDescent="0.3">
      <c r="F4062" s="90"/>
      <c r="G4062" s="90"/>
    </row>
    <row r="4063" spans="6:7" x14ac:dyDescent="0.3">
      <c r="F4063" s="90"/>
      <c r="G4063" s="90"/>
    </row>
    <row r="4064" spans="6:7" x14ac:dyDescent="0.3">
      <c r="F4064" s="90"/>
      <c r="G4064" s="90"/>
    </row>
    <row r="4065" spans="6:7" x14ac:dyDescent="0.3">
      <c r="F4065" s="90"/>
      <c r="G4065" s="90"/>
    </row>
    <row r="4066" spans="6:7" x14ac:dyDescent="0.3">
      <c r="F4066" s="90"/>
      <c r="G4066" s="90"/>
    </row>
    <row r="4067" spans="6:7" x14ac:dyDescent="0.3">
      <c r="F4067" s="90"/>
      <c r="G4067" s="90"/>
    </row>
    <row r="4068" spans="6:7" x14ac:dyDescent="0.3">
      <c r="F4068" s="90"/>
      <c r="G4068" s="90"/>
    </row>
    <row r="4069" spans="6:7" x14ac:dyDescent="0.3">
      <c r="F4069" s="90"/>
      <c r="G4069" s="90"/>
    </row>
    <row r="4070" spans="6:7" x14ac:dyDescent="0.3">
      <c r="F4070" s="90"/>
      <c r="G4070" s="90"/>
    </row>
    <row r="4071" spans="6:7" x14ac:dyDescent="0.3">
      <c r="F4071" s="90"/>
      <c r="G4071" s="90"/>
    </row>
    <row r="4072" spans="6:7" x14ac:dyDescent="0.3">
      <c r="F4072" s="90"/>
      <c r="G4072" s="90"/>
    </row>
    <row r="4073" spans="6:7" x14ac:dyDescent="0.3">
      <c r="F4073" s="90"/>
      <c r="G4073" s="90"/>
    </row>
    <row r="4074" spans="6:7" x14ac:dyDescent="0.3">
      <c r="F4074" s="90"/>
      <c r="G4074" s="90"/>
    </row>
    <row r="4075" spans="6:7" x14ac:dyDescent="0.3">
      <c r="F4075" s="90"/>
      <c r="G4075" s="90"/>
    </row>
    <row r="4076" spans="6:7" x14ac:dyDescent="0.3">
      <c r="F4076" s="90"/>
      <c r="G4076" s="90"/>
    </row>
    <row r="4077" spans="6:7" x14ac:dyDescent="0.3">
      <c r="F4077" s="90"/>
      <c r="G4077" s="90"/>
    </row>
    <row r="4078" spans="6:7" x14ac:dyDescent="0.3">
      <c r="F4078" s="90"/>
      <c r="G4078" s="90"/>
    </row>
    <row r="4079" spans="6:7" x14ac:dyDescent="0.3">
      <c r="F4079" s="90"/>
      <c r="G4079" s="90"/>
    </row>
    <row r="4080" spans="6:7" x14ac:dyDescent="0.3">
      <c r="F4080" s="90"/>
      <c r="G4080" s="90"/>
    </row>
    <row r="4081" spans="6:7" x14ac:dyDescent="0.3">
      <c r="F4081" s="90"/>
      <c r="G4081" s="90"/>
    </row>
    <row r="4082" spans="6:7" x14ac:dyDescent="0.3">
      <c r="F4082" s="90"/>
      <c r="G4082" s="90"/>
    </row>
    <row r="4083" spans="6:7" x14ac:dyDescent="0.3">
      <c r="F4083" s="90"/>
      <c r="G4083" s="90"/>
    </row>
    <row r="4084" spans="6:7" x14ac:dyDescent="0.3">
      <c r="F4084" s="90"/>
      <c r="G4084" s="90"/>
    </row>
    <row r="4085" spans="6:7" x14ac:dyDescent="0.3">
      <c r="F4085" s="90"/>
      <c r="G4085" s="90"/>
    </row>
    <row r="4086" spans="6:7" x14ac:dyDescent="0.3">
      <c r="F4086" s="90"/>
      <c r="G4086" s="90"/>
    </row>
    <row r="4087" spans="6:7" x14ac:dyDescent="0.3">
      <c r="F4087" s="90"/>
      <c r="G4087" s="90"/>
    </row>
    <row r="4088" spans="6:7" x14ac:dyDescent="0.3">
      <c r="F4088" s="90"/>
      <c r="G4088" s="90"/>
    </row>
    <row r="4089" spans="6:7" x14ac:dyDescent="0.3">
      <c r="F4089" s="90"/>
      <c r="G4089" s="90"/>
    </row>
    <row r="4090" spans="6:7" x14ac:dyDescent="0.3">
      <c r="F4090" s="90"/>
      <c r="G4090" s="90"/>
    </row>
    <row r="4091" spans="6:7" x14ac:dyDescent="0.3">
      <c r="F4091" s="90"/>
      <c r="G4091" s="90"/>
    </row>
    <row r="4092" spans="6:7" x14ac:dyDescent="0.3">
      <c r="F4092" s="90"/>
      <c r="G4092" s="90"/>
    </row>
    <row r="4093" spans="6:7" x14ac:dyDescent="0.3">
      <c r="F4093" s="90"/>
      <c r="G4093" s="90"/>
    </row>
    <row r="4094" spans="6:7" x14ac:dyDescent="0.3">
      <c r="F4094" s="90"/>
      <c r="G4094" s="90"/>
    </row>
    <row r="4095" spans="6:7" x14ac:dyDescent="0.3">
      <c r="F4095" s="90"/>
      <c r="G4095" s="90"/>
    </row>
    <row r="4096" spans="6:7" x14ac:dyDescent="0.3">
      <c r="F4096" s="90"/>
      <c r="G4096" s="90"/>
    </row>
    <row r="4097" spans="6:7" x14ac:dyDescent="0.3">
      <c r="F4097" s="90"/>
      <c r="G4097" s="90"/>
    </row>
    <row r="4098" spans="6:7" x14ac:dyDescent="0.3">
      <c r="F4098" s="90"/>
      <c r="G4098" s="90"/>
    </row>
    <row r="4099" spans="6:7" x14ac:dyDescent="0.3">
      <c r="F4099" s="90"/>
      <c r="G4099" s="90"/>
    </row>
    <row r="4100" spans="6:7" x14ac:dyDescent="0.3">
      <c r="F4100" s="90"/>
      <c r="G4100" s="90"/>
    </row>
    <row r="4101" spans="6:7" x14ac:dyDescent="0.3">
      <c r="F4101" s="90"/>
      <c r="G4101" s="90"/>
    </row>
    <row r="4102" spans="6:7" x14ac:dyDescent="0.3">
      <c r="F4102" s="90"/>
      <c r="G4102" s="90"/>
    </row>
    <row r="4103" spans="6:7" x14ac:dyDescent="0.3">
      <c r="F4103" s="90"/>
      <c r="G4103" s="90"/>
    </row>
    <row r="4104" spans="6:7" x14ac:dyDescent="0.3">
      <c r="F4104" s="90"/>
      <c r="G4104" s="90"/>
    </row>
    <row r="4105" spans="6:7" x14ac:dyDescent="0.3">
      <c r="F4105" s="90"/>
      <c r="G4105" s="90"/>
    </row>
    <row r="4106" spans="6:7" x14ac:dyDescent="0.3">
      <c r="F4106" s="90"/>
      <c r="G4106" s="90"/>
    </row>
    <row r="4107" spans="6:7" x14ac:dyDescent="0.3">
      <c r="F4107" s="90"/>
      <c r="G4107" s="90"/>
    </row>
    <row r="4108" spans="6:7" x14ac:dyDescent="0.3">
      <c r="F4108" s="90"/>
      <c r="G4108" s="90"/>
    </row>
    <row r="4109" spans="6:7" x14ac:dyDescent="0.3">
      <c r="F4109" s="90"/>
      <c r="G4109" s="90"/>
    </row>
    <row r="4110" spans="6:7" x14ac:dyDescent="0.3">
      <c r="F4110" s="90"/>
      <c r="G4110" s="90"/>
    </row>
    <row r="4111" spans="6:7" x14ac:dyDescent="0.3">
      <c r="F4111" s="90"/>
      <c r="G4111" s="90"/>
    </row>
    <row r="4112" spans="6:7" x14ac:dyDescent="0.3">
      <c r="F4112" s="90"/>
      <c r="G4112" s="90"/>
    </row>
    <row r="4113" spans="6:7" x14ac:dyDescent="0.3">
      <c r="F4113" s="90"/>
      <c r="G4113" s="90"/>
    </row>
    <row r="4114" spans="6:7" x14ac:dyDescent="0.3">
      <c r="F4114" s="90"/>
      <c r="G4114" s="90"/>
    </row>
    <row r="4115" spans="6:7" x14ac:dyDescent="0.3">
      <c r="F4115" s="90"/>
      <c r="G4115" s="90"/>
    </row>
    <row r="4116" spans="6:7" x14ac:dyDescent="0.3">
      <c r="F4116" s="90"/>
      <c r="G4116" s="90"/>
    </row>
    <row r="4117" spans="6:7" x14ac:dyDescent="0.3">
      <c r="F4117" s="90"/>
      <c r="G4117" s="90"/>
    </row>
    <row r="4118" spans="6:7" x14ac:dyDescent="0.3">
      <c r="F4118" s="90"/>
      <c r="G4118" s="90"/>
    </row>
    <row r="4119" spans="6:7" x14ac:dyDescent="0.3">
      <c r="F4119" s="90"/>
      <c r="G4119" s="90"/>
    </row>
    <row r="4120" spans="6:7" x14ac:dyDescent="0.3">
      <c r="F4120" s="90"/>
      <c r="G4120" s="90"/>
    </row>
    <row r="4121" spans="6:7" x14ac:dyDescent="0.3">
      <c r="F4121" s="90"/>
      <c r="G4121" s="90"/>
    </row>
    <row r="4122" spans="6:7" x14ac:dyDescent="0.3">
      <c r="F4122" s="90"/>
      <c r="G4122" s="90"/>
    </row>
    <row r="4123" spans="6:7" x14ac:dyDescent="0.3">
      <c r="F4123" s="90"/>
      <c r="G4123" s="90"/>
    </row>
    <row r="4124" spans="6:7" x14ac:dyDescent="0.3">
      <c r="F4124" s="90"/>
      <c r="G4124" s="90"/>
    </row>
    <row r="4125" spans="6:7" x14ac:dyDescent="0.3">
      <c r="F4125" s="90"/>
      <c r="G4125" s="90"/>
    </row>
    <row r="4126" spans="6:7" x14ac:dyDescent="0.3">
      <c r="F4126" s="90"/>
      <c r="G4126" s="90"/>
    </row>
    <row r="4127" spans="6:7" x14ac:dyDescent="0.3">
      <c r="F4127" s="90"/>
      <c r="G4127" s="90"/>
    </row>
    <row r="4128" spans="6:7" x14ac:dyDescent="0.3">
      <c r="F4128" s="90"/>
      <c r="G4128" s="90"/>
    </row>
    <row r="4129" spans="6:7" x14ac:dyDescent="0.3">
      <c r="F4129" s="90"/>
      <c r="G4129" s="90"/>
    </row>
    <row r="4130" spans="6:7" x14ac:dyDescent="0.3">
      <c r="F4130" s="90"/>
      <c r="G4130" s="90"/>
    </row>
    <row r="4131" spans="6:7" x14ac:dyDescent="0.3">
      <c r="F4131" s="90"/>
      <c r="G4131" s="90"/>
    </row>
    <row r="4132" spans="6:7" x14ac:dyDescent="0.3">
      <c r="F4132" s="90"/>
      <c r="G4132" s="90"/>
    </row>
    <row r="4133" spans="6:7" x14ac:dyDescent="0.3">
      <c r="F4133" s="90"/>
      <c r="G4133" s="90"/>
    </row>
    <row r="4134" spans="6:7" x14ac:dyDescent="0.3">
      <c r="F4134" s="90"/>
      <c r="G4134" s="90"/>
    </row>
    <row r="4135" spans="6:7" x14ac:dyDescent="0.3">
      <c r="F4135" s="90"/>
      <c r="G4135" s="90"/>
    </row>
    <row r="4136" spans="6:7" x14ac:dyDescent="0.3">
      <c r="F4136" s="90"/>
      <c r="G4136" s="90"/>
    </row>
    <row r="4137" spans="6:7" x14ac:dyDescent="0.3">
      <c r="F4137" s="90"/>
      <c r="G4137" s="90"/>
    </row>
    <row r="4138" spans="6:7" x14ac:dyDescent="0.3">
      <c r="F4138" s="90"/>
      <c r="G4138" s="90"/>
    </row>
    <row r="4139" spans="6:7" x14ac:dyDescent="0.3">
      <c r="F4139" s="90"/>
      <c r="G4139" s="90"/>
    </row>
    <row r="4140" spans="6:7" x14ac:dyDescent="0.3">
      <c r="F4140" s="90"/>
      <c r="G4140" s="90"/>
    </row>
    <row r="4141" spans="6:7" x14ac:dyDescent="0.3">
      <c r="F4141" s="90"/>
      <c r="G4141" s="90"/>
    </row>
    <row r="4142" spans="6:7" x14ac:dyDescent="0.3">
      <c r="F4142" s="90"/>
      <c r="G4142" s="90"/>
    </row>
    <row r="4143" spans="6:7" x14ac:dyDescent="0.3">
      <c r="F4143" s="90"/>
      <c r="G4143" s="90"/>
    </row>
    <row r="4144" spans="6:7" x14ac:dyDescent="0.3">
      <c r="F4144" s="90"/>
      <c r="G4144" s="90"/>
    </row>
    <row r="4145" spans="6:7" x14ac:dyDescent="0.3">
      <c r="F4145" s="90"/>
      <c r="G4145" s="90"/>
    </row>
    <row r="4146" spans="6:7" x14ac:dyDescent="0.3">
      <c r="F4146" s="90"/>
      <c r="G4146" s="90"/>
    </row>
    <row r="4147" spans="6:7" x14ac:dyDescent="0.3">
      <c r="F4147" s="90"/>
      <c r="G4147" s="90"/>
    </row>
    <row r="4148" spans="6:7" x14ac:dyDescent="0.3">
      <c r="F4148" s="90"/>
      <c r="G4148" s="90"/>
    </row>
    <row r="4149" spans="6:7" x14ac:dyDescent="0.3">
      <c r="F4149" s="90"/>
      <c r="G4149" s="90"/>
    </row>
    <row r="4150" spans="6:7" x14ac:dyDescent="0.3">
      <c r="F4150" s="90"/>
      <c r="G4150" s="90"/>
    </row>
    <row r="4151" spans="6:7" x14ac:dyDescent="0.3">
      <c r="F4151" s="90"/>
      <c r="G4151" s="90"/>
    </row>
    <row r="4152" spans="6:7" x14ac:dyDescent="0.3">
      <c r="F4152" s="90"/>
      <c r="G4152" s="90"/>
    </row>
    <row r="4153" spans="6:7" x14ac:dyDescent="0.3">
      <c r="F4153" s="90"/>
      <c r="G4153" s="90"/>
    </row>
    <row r="4154" spans="6:7" x14ac:dyDescent="0.3">
      <c r="F4154" s="90"/>
      <c r="G4154" s="90"/>
    </row>
    <row r="4155" spans="6:7" x14ac:dyDescent="0.3">
      <c r="F4155" s="90"/>
      <c r="G4155" s="90"/>
    </row>
    <row r="4156" spans="6:7" x14ac:dyDescent="0.3">
      <c r="F4156" s="90"/>
      <c r="G4156" s="90"/>
    </row>
    <row r="4157" spans="6:7" x14ac:dyDescent="0.3">
      <c r="F4157" s="90"/>
      <c r="G4157" s="90"/>
    </row>
    <row r="4158" spans="6:7" x14ac:dyDescent="0.3">
      <c r="F4158" s="90"/>
      <c r="G4158" s="90"/>
    </row>
    <row r="4159" spans="6:7" x14ac:dyDescent="0.3">
      <c r="F4159" s="90"/>
      <c r="G4159" s="90"/>
    </row>
    <row r="4160" spans="6:7" x14ac:dyDescent="0.3">
      <c r="F4160" s="90"/>
      <c r="G4160" s="90"/>
    </row>
    <row r="4161" spans="6:7" x14ac:dyDescent="0.3">
      <c r="F4161" s="90"/>
      <c r="G4161" s="90"/>
    </row>
    <row r="4162" spans="6:7" x14ac:dyDescent="0.3">
      <c r="F4162" s="90"/>
      <c r="G4162" s="90"/>
    </row>
    <row r="4163" spans="6:7" x14ac:dyDescent="0.3">
      <c r="F4163" s="90"/>
      <c r="G4163" s="90"/>
    </row>
    <row r="4164" spans="6:7" x14ac:dyDescent="0.3">
      <c r="F4164" s="90"/>
      <c r="G4164" s="90"/>
    </row>
    <row r="4165" spans="6:7" x14ac:dyDescent="0.3">
      <c r="F4165" s="90"/>
      <c r="G4165" s="90"/>
    </row>
    <row r="4166" spans="6:7" x14ac:dyDescent="0.3">
      <c r="F4166" s="90"/>
      <c r="G4166" s="90"/>
    </row>
    <row r="4167" spans="6:7" x14ac:dyDescent="0.3">
      <c r="F4167" s="90"/>
      <c r="G4167" s="90"/>
    </row>
    <row r="4168" spans="6:7" x14ac:dyDescent="0.3">
      <c r="F4168" s="90"/>
      <c r="G4168" s="90"/>
    </row>
    <row r="4169" spans="6:7" x14ac:dyDescent="0.3">
      <c r="F4169" s="90"/>
      <c r="G4169" s="90"/>
    </row>
    <row r="4170" spans="6:7" x14ac:dyDescent="0.3">
      <c r="F4170" s="90"/>
      <c r="G4170" s="90"/>
    </row>
    <row r="4171" spans="6:7" x14ac:dyDescent="0.3">
      <c r="F4171" s="90"/>
      <c r="G4171" s="90"/>
    </row>
    <row r="4172" spans="6:7" x14ac:dyDescent="0.3">
      <c r="F4172" s="90"/>
      <c r="G4172" s="90"/>
    </row>
    <row r="4173" spans="6:7" x14ac:dyDescent="0.3">
      <c r="F4173" s="90"/>
      <c r="G4173" s="90"/>
    </row>
    <row r="4174" spans="6:7" x14ac:dyDescent="0.3">
      <c r="F4174" s="90"/>
      <c r="G4174" s="90"/>
    </row>
    <row r="4175" spans="6:7" x14ac:dyDescent="0.3">
      <c r="F4175" s="90"/>
      <c r="G4175" s="90"/>
    </row>
    <row r="4176" spans="6:7" x14ac:dyDescent="0.3">
      <c r="F4176" s="90"/>
      <c r="G4176" s="90"/>
    </row>
    <row r="4177" spans="6:7" x14ac:dyDescent="0.3">
      <c r="F4177" s="90"/>
      <c r="G4177" s="90"/>
    </row>
    <row r="4178" spans="6:7" x14ac:dyDescent="0.3">
      <c r="F4178" s="90"/>
      <c r="G4178" s="90"/>
    </row>
    <row r="4179" spans="6:7" x14ac:dyDescent="0.3">
      <c r="F4179" s="90"/>
      <c r="G4179" s="90"/>
    </row>
    <row r="4180" spans="6:7" x14ac:dyDescent="0.3">
      <c r="F4180" s="90"/>
      <c r="G4180" s="90"/>
    </row>
    <row r="4181" spans="6:7" x14ac:dyDescent="0.3">
      <c r="F4181" s="90"/>
      <c r="G4181" s="90"/>
    </row>
    <row r="4182" spans="6:7" x14ac:dyDescent="0.3">
      <c r="F4182" s="90"/>
      <c r="G4182" s="90"/>
    </row>
    <row r="4183" spans="6:7" x14ac:dyDescent="0.3">
      <c r="F4183" s="90"/>
      <c r="G4183" s="90"/>
    </row>
    <row r="4184" spans="6:7" x14ac:dyDescent="0.3">
      <c r="F4184" s="90"/>
      <c r="G4184" s="90"/>
    </row>
    <row r="4185" spans="6:7" x14ac:dyDescent="0.3">
      <c r="F4185" s="90"/>
      <c r="G4185" s="90"/>
    </row>
    <row r="4186" spans="6:7" x14ac:dyDescent="0.3">
      <c r="F4186" s="90"/>
      <c r="G4186" s="90"/>
    </row>
    <row r="4187" spans="6:7" x14ac:dyDescent="0.3">
      <c r="F4187" s="90"/>
      <c r="G4187" s="90"/>
    </row>
    <row r="4188" spans="6:7" x14ac:dyDescent="0.3">
      <c r="F4188" s="90"/>
      <c r="G4188" s="90"/>
    </row>
    <row r="4189" spans="6:7" x14ac:dyDescent="0.3">
      <c r="F4189" s="90"/>
      <c r="G4189" s="90"/>
    </row>
    <row r="4190" spans="6:7" x14ac:dyDescent="0.3">
      <c r="F4190" s="90"/>
      <c r="G4190" s="90"/>
    </row>
    <row r="4191" spans="6:7" x14ac:dyDescent="0.3">
      <c r="F4191" s="90"/>
      <c r="G4191" s="90"/>
    </row>
    <row r="4192" spans="6:7" x14ac:dyDescent="0.3">
      <c r="F4192" s="90"/>
      <c r="G4192" s="90"/>
    </row>
    <row r="4193" spans="6:7" x14ac:dyDescent="0.3">
      <c r="F4193" s="90"/>
      <c r="G4193" s="90"/>
    </row>
    <row r="4194" spans="6:7" x14ac:dyDescent="0.3">
      <c r="F4194" s="90"/>
      <c r="G4194" s="90"/>
    </row>
    <row r="4195" spans="6:7" x14ac:dyDescent="0.3">
      <c r="F4195" s="90"/>
      <c r="G4195" s="90"/>
    </row>
    <row r="4196" spans="6:7" x14ac:dyDescent="0.3">
      <c r="F4196" s="90"/>
      <c r="G4196" s="90"/>
    </row>
    <row r="4197" spans="6:7" x14ac:dyDescent="0.3">
      <c r="F4197" s="90"/>
      <c r="G4197" s="90"/>
    </row>
    <row r="4198" spans="6:7" x14ac:dyDescent="0.3">
      <c r="F4198" s="90"/>
      <c r="G4198" s="90"/>
    </row>
    <row r="4199" spans="6:7" x14ac:dyDescent="0.3">
      <c r="F4199" s="90"/>
      <c r="G4199" s="90"/>
    </row>
    <row r="4200" spans="6:7" x14ac:dyDescent="0.3">
      <c r="F4200" s="90"/>
      <c r="G4200" s="90"/>
    </row>
    <row r="4201" spans="6:7" x14ac:dyDescent="0.3">
      <c r="F4201" s="90"/>
      <c r="G4201" s="90"/>
    </row>
    <row r="4202" spans="6:7" x14ac:dyDescent="0.3">
      <c r="F4202" s="90"/>
      <c r="G4202" s="90"/>
    </row>
    <row r="4203" spans="6:7" x14ac:dyDescent="0.3">
      <c r="F4203" s="90"/>
      <c r="G4203" s="90"/>
    </row>
    <row r="4204" spans="6:7" x14ac:dyDescent="0.3">
      <c r="F4204" s="90"/>
      <c r="G4204" s="90"/>
    </row>
    <row r="4205" spans="6:7" x14ac:dyDescent="0.3">
      <c r="F4205" s="90"/>
      <c r="G4205" s="90"/>
    </row>
    <row r="4206" spans="6:7" x14ac:dyDescent="0.3">
      <c r="F4206" s="90"/>
      <c r="G4206" s="90"/>
    </row>
    <row r="4207" spans="6:7" x14ac:dyDescent="0.3">
      <c r="F4207" s="90"/>
      <c r="G4207" s="90"/>
    </row>
    <row r="4208" spans="6:7" x14ac:dyDescent="0.3">
      <c r="F4208" s="90"/>
      <c r="G4208" s="90"/>
    </row>
    <row r="4209" spans="6:7" x14ac:dyDescent="0.3">
      <c r="F4209" s="90"/>
      <c r="G4209" s="90"/>
    </row>
    <row r="4210" spans="6:7" x14ac:dyDescent="0.3">
      <c r="F4210" s="90"/>
      <c r="G4210" s="90"/>
    </row>
    <row r="4211" spans="6:7" x14ac:dyDescent="0.3">
      <c r="F4211" s="90"/>
      <c r="G4211" s="90"/>
    </row>
    <row r="4212" spans="6:7" x14ac:dyDescent="0.3">
      <c r="F4212" s="90"/>
      <c r="G4212" s="90"/>
    </row>
    <row r="4213" spans="6:7" x14ac:dyDescent="0.3">
      <c r="F4213" s="90"/>
      <c r="G4213" s="90"/>
    </row>
    <row r="4214" spans="6:7" x14ac:dyDescent="0.3">
      <c r="F4214" s="90"/>
      <c r="G4214" s="90"/>
    </row>
    <row r="4215" spans="6:7" x14ac:dyDescent="0.3">
      <c r="F4215" s="90"/>
      <c r="G4215" s="90"/>
    </row>
    <row r="4216" spans="6:7" x14ac:dyDescent="0.3">
      <c r="F4216" s="90"/>
      <c r="G4216" s="90"/>
    </row>
    <row r="4217" spans="6:7" x14ac:dyDescent="0.3">
      <c r="F4217" s="90"/>
      <c r="G4217" s="90"/>
    </row>
    <row r="4218" spans="6:7" x14ac:dyDescent="0.3">
      <c r="F4218" s="90"/>
      <c r="G4218" s="90"/>
    </row>
    <row r="4219" spans="6:7" x14ac:dyDescent="0.3">
      <c r="F4219" s="90"/>
      <c r="G4219" s="90"/>
    </row>
    <row r="4220" spans="6:7" x14ac:dyDescent="0.3">
      <c r="F4220" s="90"/>
      <c r="G4220" s="90"/>
    </row>
    <row r="4221" spans="6:7" x14ac:dyDescent="0.3">
      <c r="F4221" s="90"/>
      <c r="G4221" s="90"/>
    </row>
    <row r="4222" spans="6:7" x14ac:dyDescent="0.3">
      <c r="F4222" s="90"/>
      <c r="G4222" s="90"/>
    </row>
    <row r="4223" spans="6:7" x14ac:dyDescent="0.3">
      <c r="F4223" s="90"/>
      <c r="G4223" s="90"/>
    </row>
    <row r="4224" spans="6:7" x14ac:dyDescent="0.3">
      <c r="F4224" s="90"/>
      <c r="G4224" s="90"/>
    </row>
    <row r="4225" spans="6:7" x14ac:dyDescent="0.3">
      <c r="F4225" s="90"/>
      <c r="G4225" s="90"/>
    </row>
    <row r="4226" spans="6:7" x14ac:dyDescent="0.3">
      <c r="F4226" s="90"/>
      <c r="G4226" s="90"/>
    </row>
    <row r="4227" spans="6:7" x14ac:dyDescent="0.3">
      <c r="F4227" s="90"/>
      <c r="G4227" s="90"/>
    </row>
    <row r="4228" spans="6:7" x14ac:dyDescent="0.3">
      <c r="F4228" s="90"/>
      <c r="G4228" s="90"/>
    </row>
    <row r="4229" spans="6:7" x14ac:dyDescent="0.3">
      <c r="F4229" s="90"/>
      <c r="G4229" s="90"/>
    </row>
    <row r="4230" spans="6:7" x14ac:dyDescent="0.3">
      <c r="F4230" s="90"/>
      <c r="G4230" s="90"/>
    </row>
    <row r="4231" spans="6:7" x14ac:dyDescent="0.3">
      <c r="F4231" s="90"/>
      <c r="G4231" s="90"/>
    </row>
    <row r="4232" spans="6:7" x14ac:dyDescent="0.3">
      <c r="F4232" s="90"/>
      <c r="G4232" s="90"/>
    </row>
    <row r="4233" spans="6:7" x14ac:dyDescent="0.3">
      <c r="F4233" s="90"/>
      <c r="G4233" s="90"/>
    </row>
    <row r="4234" spans="6:7" x14ac:dyDescent="0.3">
      <c r="F4234" s="90"/>
      <c r="G4234" s="90"/>
    </row>
    <row r="4235" spans="6:7" x14ac:dyDescent="0.3">
      <c r="F4235" s="90"/>
      <c r="G4235" s="90"/>
    </row>
    <row r="4236" spans="6:7" x14ac:dyDescent="0.3">
      <c r="F4236" s="90"/>
      <c r="G4236" s="90"/>
    </row>
    <row r="4237" spans="6:7" x14ac:dyDescent="0.3">
      <c r="F4237" s="90"/>
      <c r="G4237" s="90"/>
    </row>
    <row r="4238" spans="6:7" x14ac:dyDescent="0.3">
      <c r="F4238" s="90"/>
      <c r="G4238" s="90"/>
    </row>
    <row r="4239" spans="6:7" x14ac:dyDescent="0.3">
      <c r="F4239" s="90"/>
      <c r="G4239" s="90"/>
    </row>
    <row r="4240" spans="6:7" x14ac:dyDescent="0.3">
      <c r="F4240" s="90"/>
      <c r="G4240" s="90"/>
    </row>
    <row r="4241" spans="6:7" x14ac:dyDescent="0.3">
      <c r="F4241" s="90"/>
      <c r="G4241" s="90"/>
    </row>
    <row r="4242" spans="6:7" x14ac:dyDescent="0.3">
      <c r="F4242" s="90"/>
      <c r="G4242" s="90"/>
    </row>
    <row r="4243" spans="6:7" x14ac:dyDescent="0.3">
      <c r="F4243" s="90"/>
      <c r="G4243" s="90"/>
    </row>
    <row r="4244" spans="6:7" x14ac:dyDescent="0.3">
      <c r="F4244" s="90"/>
      <c r="G4244" s="90"/>
    </row>
    <row r="4245" spans="6:7" x14ac:dyDescent="0.3">
      <c r="F4245" s="90"/>
      <c r="G4245" s="90"/>
    </row>
    <row r="4246" spans="6:7" x14ac:dyDescent="0.3">
      <c r="F4246" s="90"/>
      <c r="G4246" s="90"/>
    </row>
    <row r="4247" spans="6:7" x14ac:dyDescent="0.3">
      <c r="F4247" s="90"/>
      <c r="G4247" s="90"/>
    </row>
    <row r="4248" spans="6:7" x14ac:dyDescent="0.3">
      <c r="F4248" s="90"/>
      <c r="G4248" s="90"/>
    </row>
    <row r="4249" spans="6:7" x14ac:dyDescent="0.3">
      <c r="F4249" s="90"/>
      <c r="G4249" s="90"/>
    </row>
    <row r="4250" spans="6:7" x14ac:dyDescent="0.3">
      <c r="F4250" s="90"/>
      <c r="G4250" s="90"/>
    </row>
    <row r="4251" spans="6:7" x14ac:dyDescent="0.3">
      <c r="F4251" s="90"/>
      <c r="G4251" s="90"/>
    </row>
    <row r="4252" spans="6:7" x14ac:dyDescent="0.3">
      <c r="F4252" s="90"/>
      <c r="G4252" s="90"/>
    </row>
    <row r="4253" spans="6:7" x14ac:dyDescent="0.3">
      <c r="F4253" s="90"/>
      <c r="G4253" s="90"/>
    </row>
    <row r="4254" spans="6:7" x14ac:dyDescent="0.3">
      <c r="F4254" s="90"/>
      <c r="G4254" s="90"/>
    </row>
    <row r="4255" spans="6:7" x14ac:dyDescent="0.3">
      <c r="F4255" s="90"/>
      <c r="G4255" s="90"/>
    </row>
    <row r="4256" spans="6:7" x14ac:dyDescent="0.3">
      <c r="F4256" s="90"/>
      <c r="G4256" s="90"/>
    </row>
    <row r="4257" spans="6:7" x14ac:dyDescent="0.3">
      <c r="F4257" s="90"/>
      <c r="G4257" s="90"/>
    </row>
    <row r="4258" spans="6:7" x14ac:dyDescent="0.3">
      <c r="F4258" s="90"/>
      <c r="G4258" s="90"/>
    </row>
    <row r="4259" spans="6:7" x14ac:dyDescent="0.3">
      <c r="F4259" s="90"/>
      <c r="G4259" s="90"/>
    </row>
    <row r="4260" spans="6:7" x14ac:dyDescent="0.3">
      <c r="F4260" s="90"/>
      <c r="G4260" s="90"/>
    </row>
    <row r="4261" spans="6:7" x14ac:dyDescent="0.3">
      <c r="F4261" s="90"/>
      <c r="G4261" s="90"/>
    </row>
    <row r="4262" spans="6:7" x14ac:dyDescent="0.3">
      <c r="F4262" s="90"/>
      <c r="G4262" s="90"/>
    </row>
    <row r="4263" spans="6:7" x14ac:dyDescent="0.3">
      <c r="F4263" s="90"/>
      <c r="G4263" s="90"/>
    </row>
    <row r="4264" spans="6:7" x14ac:dyDescent="0.3">
      <c r="F4264" s="90"/>
      <c r="G4264" s="90"/>
    </row>
    <row r="4265" spans="6:7" x14ac:dyDescent="0.3">
      <c r="F4265" s="90"/>
      <c r="G4265" s="90"/>
    </row>
    <row r="4266" spans="6:7" x14ac:dyDescent="0.3">
      <c r="F4266" s="90"/>
      <c r="G4266" s="90"/>
    </row>
    <row r="4267" spans="6:7" x14ac:dyDescent="0.3">
      <c r="F4267" s="90"/>
      <c r="G4267" s="90"/>
    </row>
    <row r="4268" spans="6:7" x14ac:dyDescent="0.3">
      <c r="F4268" s="90"/>
      <c r="G4268" s="90"/>
    </row>
    <row r="4269" spans="6:7" x14ac:dyDescent="0.3">
      <c r="F4269" s="90"/>
      <c r="G4269" s="90"/>
    </row>
    <row r="4270" spans="6:7" x14ac:dyDescent="0.3">
      <c r="F4270" s="90"/>
      <c r="G4270" s="90"/>
    </row>
    <row r="4271" spans="6:7" x14ac:dyDescent="0.3">
      <c r="F4271" s="90"/>
      <c r="G4271" s="90"/>
    </row>
    <row r="4272" spans="6:7" x14ac:dyDescent="0.3">
      <c r="F4272" s="90"/>
      <c r="G4272" s="90"/>
    </row>
    <row r="4273" spans="6:7" x14ac:dyDescent="0.3">
      <c r="F4273" s="90"/>
      <c r="G4273" s="90"/>
    </row>
    <row r="4274" spans="6:7" x14ac:dyDescent="0.3">
      <c r="F4274" s="90"/>
      <c r="G4274" s="90"/>
    </row>
    <row r="4275" spans="6:7" x14ac:dyDescent="0.3">
      <c r="F4275" s="90"/>
      <c r="G4275" s="90"/>
    </row>
    <row r="4276" spans="6:7" x14ac:dyDescent="0.3">
      <c r="F4276" s="90"/>
      <c r="G4276" s="90"/>
    </row>
    <row r="4277" spans="6:7" x14ac:dyDescent="0.3">
      <c r="F4277" s="90"/>
      <c r="G4277" s="90"/>
    </row>
    <row r="4278" spans="6:7" x14ac:dyDescent="0.3">
      <c r="F4278" s="90"/>
      <c r="G4278" s="90"/>
    </row>
    <row r="4279" spans="6:7" x14ac:dyDescent="0.3">
      <c r="F4279" s="90"/>
      <c r="G4279" s="90"/>
    </row>
    <row r="4280" spans="6:7" x14ac:dyDescent="0.3">
      <c r="F4280" s="90"/>
      <c r="G4280" s="90"/>
    </row>
    <row r="4281" spans="6:7" x14ac:dyDescent="0.3">
      <c r="F4281" s="90"/>
      <c r="G4281" s="90"/>
    </row>
    <row r="4282" spans="6:7" x14ac:dyDescent="0.3">
      <c r="F4282" s="90"/>
      <c r="G4282" s="90"/>
    </row>
    <row r="4283" spans="6:7" x14ac:dyDescent="0.3">
      <c r="F4283" s="90"/>
      <c r="G4283" s="90"/>
    </row>
    <row r="4284" spans="6:7" x14ac:dyDescent="0.3">
      <c r="F4284" s="90"/>
      <c r="G4284" s="90"/>
    </row>
    <row r="4285" spans="6:7" x14ac:dyDescent="0.3">
      <c r="F4285" s="90"/>
      <c r="G4285" s="90"/>
    </row>
    <row r="4286" spans="6:7" x14ac:dyDescent="0.3">
      <c r="F4286" s="90"/>
      <c r="G4286" s="90"/>
    </row>
    <row r="4287" spans="6:7" x14ac:dyDescent="0.3">
      <c r="F4287" s="90"/>
      <c r="G4287" s="90"/>
    </row>
    <row r="4288" spans="6:7" x14ac:dyDescent="0.3">
      <c r="F4288" s="90"/>
      <c r="G4288" s="90"/>
    </row>
    <row r="4289" spans="6:7" x14ac:dyDescent="0.3">
      <c r="F4289" s="90"/>
      <c r="G4289" s="90"/>
    </row>
    <row r="4290" spans="6:7" x14ac:dyDescent="0.3">
      <c r="F4290" s="90"/>
      <c r="G4290" s="90"/>
    </row>
    <row r="4291" spans="6:7" x14ac:dyDescent="0.3">
      <c r="F4291" s="90"/>
      <c r="G4291" s="90"/>
    </row>
    <row r="4292" spans="6:7" x14ac:dyDescent="0.3">
      <c r="F4292" s="90"/>
      <c r="G4292" s="90"/>
    </row>
    <row r="4293" spans="6:7" x14ac:dyDescent="0.3">
      <c r="F4293" s="90"/>
      <c r="G4293" s="90"/>
    </row>
    <row r="4294" spans="6:7" x14ac:dyDescent="0.3">
      <c r="F4294" s="90"/>
      <c r="G4294" s="90"/>
    </row>
    <row r="4295" spans="6:7" x14ac:dyDescent="0.3">
      <c r="F4295" s="90"/>
      <c r="G4295" s="90"/>
    </row>
    <row r="4296" spans="6:7" x14ac:dyDescent="0.3">
      <c r="F4296" s="90"/>
      <c r="G4296" s="90"/>
    </row>
    <row r="4297" spans="6:7" x14ac:dyDescent="0.3">
      <c r="F4297" s="90"/>
      <c r="G4297" s="90"/>
    </row>
    <row r="4298" spans="6:7" x14ac:dyDescent="0.3">
      <c r="F4298" s="90"/>
      <c r="G4298" s="90"/>
    </row>
    <row r="4299" spans="6:7" x14ac:dyDescent="0.3">
      <c r="F4299" s="90"/>
      <c r="G4299" s="90"/>
    </row>
    <row r="4300" spans="6:7" x14ac:dyDescent="0.3">
      <c r="F4300" s="90"/>
      <c r="G4300" s="90"/>
    </row>
    <row r="4301" spans="6:7" x14ac:dyDescent="0.3">
      <c r="F4301" s="90"/>
      <c r="G4301" s="90"/>
    </row>
    <row r="4302" spans="6:7" x14ac:dyDescent="0.3">
      <c r="F4302" s="90"/>
      <c r="G4302" s="90"/>
    </row>
    <row r="4303" spans="6:7" x14ac:dyDescent="0.3">
      <c r="F4303" s="90"/>
      <c r="G4303" s="90"/>
    </row>
    <row r="4304" spans="6:7" x14ac:dyDescent="0.3">
      <c r="F4304" s="90"/>
      <c r="G4304" s="90"/>
    </row>
    <row r="4305" spans="6:7" x14ac:dyDescent="0.3">
      <c r="F4305" s="90"/>
      <c r="G4305" s="90"/>
    </row>
    <row r="4306" spans="6:7" x14ac:dyDescent="0.3">
      <c r="F4306" s="90"/>
      <c r="G4306" s="90"/>
    </row>
    <row r="4307" spans="6:7" x14ac:dyDescent="0.3">
      <c r="F4307" s="90"/>
      <c r="G4307" s="90"/>
    </row>
    <row r="4308" spans="6:7" x14ac:dyDescent="0.3">
      <c r="F4308" s="90"/>
      <c r="G4308" s="90"/>
    </row>
    <row r="4309" spans="6:7" x14ac:dyDescent="0.3">
      <c r="F4309" s="90"/>
      <c r="G4309" s="90"/>
    </row>
    <row r="4310" spans="6:7" x14ac:dyDescent="0.3">
      <c r="F4310" s="90"/>
      <c r="G4310" s="90"/>
    </row>
    <row r="4311" spans="6:7" x14ac:dyDescent="0.3">
      <c r="F4311" s="90"/>
      <c r="G4311" s="90"/>
    </row>
    <row r="4312" spans="6:7" x14ac:dyDescent="0.3">
      <c r="F4312" s="90"/>
      <c r="G4312" s="90"/>
    </row>
    <row r="4313" spans="6:7" x14ac:dyDescent="0.3">
      <c r="F4313" s="90"/>
      <c r="G4313" s="90"/>
    </row>
    <row r="4314" spans="6:7" x14ac:dyDescent="0.3">
      <c r="F4314" s="90"/>
      <c r="G4314" s="90"/>
    </row>
    <row r="4315" spans="6:7" x14ac:dyDescent="0.3">
      <c r="F4315" s="90"/>
      <c r="G4315" s="90"/>
    </row>
    <row r="4316" spans="6:7" x14ac:dyDescent="0.3">
      <c r="F4316" s="90"/>
      <c r="G4316" s="90"/>
    </row>
    <row r="4317" spans="6:7" x14ac:dyDescent="0.3">
      <c r="F4317" s="90"/>
      <c r="G4317" s="90"/>
    </row>
    <row r="4318" spans="6:7" x14ac:dyDescent="0.3">
      <c r="F4318" s="90"/>
      <c r="G4318" s="90"/>
    </row>
    <row r="4319" spans="6:7" x14ac:dyDescent="0.3">
      <c r="F4319" s="90"/>
      <c r="G4319" s="90"/>
    </row>
    <row r="4320" spans="6:7" x14ac:dyDescent="0.3">
      <c r="F4320" s="90"/>
      <c r="G4320" s="90"/>
    </row>
    <row r="4321" spans="6:7" x14ac:dyDescent="0.3">
      <c r="F4321" s="90"/>
      <c r="G4321" s="90"/>
    </row>
    <row r="4322" spans="6:7" x14ac:dyDescent="0.3">
      <c r="F4322" s="90"/>
      <c r="G4322" s="90"/>
    </row>
    <row r="4323" spans="6:7" x14ac:dyDescent="0.3">
      <c r="F4323" s="90"/>
      <c r="G4323" s="90"/>
    </row>
    <row r="4324" spans="6:7" x14ac:dyDescent="0.3">
      <c r="F4324" s="90"/>
      <c r="G4324" s="90"/>
    </row>
    <row r="4325" spans="6:7" x14ac:dyDescent="0.3">
      <c r="F4325" s="90"/>
      <c r="G4325" s="90"/>
    </row>
    <row r="4326" spans="6:7" x14ac:dyDescent="0.3">
      <c r="F4326" s="90"/>
      <c r="G4326" s="90"/>
    </row>
    <row r="4327" spans="6:7" x14ac:dyDescent="0.3">
      <c r="F4327" s="90"/>
      <c r="G4327" s="90"/>
    </row>
    <row r="4328" spans="6:7" x14ac:dyDescent="0.3">
      <c r="F4328" s="90"/>
      <c r="G4328" s="90"/>
    </row>
    <row r="4329" spans="6:7" x14ac:dyDescent="0.3">
      <c r="F4329" s="90"/>
      <c r="G4329" s="90"/>
    </row>
    <row r="4330" spans="6:7" x14ac:dyDescent="0.3">
      <c r="F4330" s="90"/>
      <c r="G4330" s="90"/>
    </row>
    <row r="4331" spans="6:7" x14ac:dyDescent="0.3">
      <c r="F4331" s="90"/>
      <c r="G4331" s="90"/>
    </row>
    <row r="4332" spans="6:7" x14ac:dyDescent="0.3">
      <c r="F4332" s="90"/>
      <c r="G4332" s="90"/>
    </row>
    <row r="4333" spans="6:7" x14ac:dyDescent="0.3">
      <c r="F4333" s="90"/>
      <c r="G4333" s="90"/>
    </row>
    <row r="4334" spans="6:7" x14ac:dyDescent="0.3">
      <c r="F4334" s="90"/>
      <c r="G4334" s="90"/>
    </row>
    <row r="4335" spans="6:7" x14ac:dyDescent="0.3">
      <c r="F4335" s="90"/>
      <c r="G4335" s="90"/>
    </row>
    <row r="4336" spans="6:7" x14ac:dyDescent="0.3">
      <c r="F4336" s="90"/>
      <c r="G4336" s="90"/>
    </row>
    <row r="4337" spans="6:7" x14ac:dyDescent="0.3">
      <c r="F4337" s="90"/>
      <c r="G4337" s="90"/>
    </row>
    <row r="4338" spans="6:7" x14ac:dyDescent="0.3">
      <c r="F4338" s="90"/>
      <c r="G4338" s="90"/>
    </row>
    <row r="4339" spans="6:7" x14ac:dyDescent="0.3">
      <c r="F4339" s="90"/>
      <c r="G4339" s="90"/>
    </row>
    <row r="4340" spans="6:7" x14ac:dyDescent="0.3">
      <c r="F4340" s="90"/>
      <c r="G4340" s="90"/>
    </row>
    <row r="4341" spans="6:7" x14ac:dyDescent="0.3">
      <c r="F4341" s="90"/>
      <c r="G4341" s="90"/>
    </row>
    <row r="4342" spans="6:7" x14ac:dyDescent="0.3">
      <c r="F4342" s="90"/>
      <c r="G4342" s="90"/>
    </row>
    <row r="4343" spans="6:7" x14ac:dyDescent="0.3">
      <c r="F4343" s="90"/>
      <c r="G4343" s="90"/>
    </row>
    <row r="4344" spans="6:7" x14ac:dyDescent="0.3">
      <c r="F4344" s="90"/>
      <c r="G4344" s="90"/>
    </row>
    <row r="4345" spans="6:7" x14ac:dyDescent="0.3">
      <c r="F4345" s="90"/>
      <c r="G4345" s="90"/>
    </row>
    <row r="4346" spans="6:7" x14ac:dyDescent="0.3">
      <c r="F4346" s="90"/>
      <c r="G4346" s="90"/>
    </row>
    <row r="4347" spans="6:7" x14ac:dyDescent="0.3">
      <c r="F4347" s="90"/>
      <c r="G4347" s="90"/>
    </row>
    <row r="4348" spans="6:7" x14ac:dyDescent="0.3">
      <c r="F4348" s="90"/>
      <c r="G4348" s="90"/>
    </row>
    <row r="4349" spans="6:7" x14ac:dyDescent="0.3">
      <c r="F4349" s="90"/>
      <c r="G4349" s="90"/>
    </row>
    <row r="4350" spans="6:7" x14ac:dyDescent="0.3">
      <c r="F4350" s="90"/>
      <c r="G4350" s="90"/>
    </row>
    <row r="4351" spans="6:7" x14ac:dyDescent="0.3">
      <c r="F4351" s="90"/>
      <c r="G4351" s="90"/>
    </row>
    <row r="4352" spans="6:7" x14ac:dyDescent="0.3">
      <c r="F4352" s="90"/>
      <c r="G4352" s="90"/>
    </row>
    <row r="4353" spans="6:7" x14ac:dyDescent="0.3">
      <c r="F4353" s="90"/>
      <c r="G4353" s="90"/>
    </row>
    <row r="4354" spans="6:7" x14ac:dyDescent="0.3">
      <c r="F4354" s="90"/>
      <c r="G4354" s="90"/>
    </row>
    <row r="4355" spans="6:7" x14ac:dyDescent="0.3">
      <c r="F4355" s="90"/>
      <c r="G4355" s="90"/>
    </row>
    <row r="4356" spans="6:7" x14ac:dyDescent="0.3">
      <c r="F4356" s="90"/>
      <c r="G4356" s="90"/>
    </row>
    <row r="4357" spans="6:7" x14ac:dyDescent="0.3">
      <c r="F4357" s="90"/>
      <c r="G4357" s="90"/>
    </row>
    <row r="4358" spans="6:7" x14ac:dyDescent="0.3">
      <c r="F4358" s="90"/>
      <c r="G4358" s="90"/>
    </row>
    <row r="4359" spans="6:7" x14ac:dyDescent="0.3">
      <c r="F4359" s="90"/>
      <c r="G4359" s="90"/>
    </row>
    <row r="4360" spans="6:7" x14ac:dyDescent="0.3">
      <c r="F4360" s="90"/>
      <c r="G4360" s="90"/>
    </row>
    <row r="4361" spans="6:7" x14ac:dyDescent="0.3">
      <c r="F4361" s="90"/>
      <c r="G4361" s="90"/>
    </row>
    <row r="4362" spans="6:7" x14ac:dyDescent="0.3">
      <c r="F4362" s="90"/>
      <c r="G4362" s="90"/>
    </row>
    <row r="4363" spans="6:7" x14ac:dyDescent="0.3">
      <c r="F4363" s="90"/>
      <c r="G4363" s="90"/>
    </row>
    <row r="4364" spans="6:7" x14ac:dyDescent="0.3">
      <c r="F4364" s="90"/>
      <c r="G4364" s="90"/>
    </row>
    <row r="4365" spans="6:7" x14ac:dyDescent="0.3">
      <c r="F4365" s="90"/>
      <c r="G4365" s="90"/>
    </row>
    <row r="4366" spans="6:7" x14ac:dyDescent="0.3">
      <c r="F4366" s="90"/>
      <c r="G4366" s="90"/>
    </row>
    <row r="4367" spans="6:7" x14ac:dyDescent="0.3">
      <c r="F4367" s="90"/>
      <c r="G4367" s="90"/>
    </row>
    <row r="4368" spans="6:7" x14ac:dyDescent="0.3">
      <c r="F4368" s="90"/>
      <c r="G4368" s="90"/>
    </row>
    <row r="4369" spans="6:7" x14ac:dyDescent="0.3">
      <c r="F4369" s="90"/>
      <c r="G4369" s="90"/>
    </row>
    <row r="4370" spans="6:7" x14ac:dyDescent="0.3">
      <c r="F4370" s="90"/>
      <c r="G4370" s="90"/>
    </row>
    <row r="4371" spans="6:7" x14ac:dyDescent="0.3">
      <c r="F4371" s="90"/>
      <c r="G4371" s="90"/>
    </row>
    <row r="4372" spans="6:7" x14ac:dyDescent="0.3">
      <c r="F4372" s="90"/>
      <c r="G4372" s="90"/>
    </row>
    <row r="4373" spans="6:7" x14ac:dyDescent="0.3">
      <c r="F4373" s="90"/>
      <c r="G4373" s="90"/>
    </row>
    <row r="4374" spans="6:7" x14ac:dyDescent="0.3">
      <c r="F4374" s="90"/>
      <c r="G4374" s="90"/>
    </row>
    <row r="4375" spans="6:7" x14ac:dyDescent="0.3">
      <c r="F4375" s="90"/>
      <c r="G4375" s="90"/>
    </row>
    <row r="4376" spans="6:7" x14ac:dyDescent="0.3">
      <c r="F4376" s="90"/>
      <c r="G4376" s="90"/>
    </row>
    <row r="4377" spans="6:7" x14ac:dyDescent="0.3">
      <c r="F4377" s="90"/>
      <c r="G4377" s="90"/>
    </row>
    <row r="4378" spans="6:7" x14ac:dyDescent="0.3">
      <c r="F4378" s="90"/>
      <c r="G4378" s="90"/>
    </row>
    <row r="4379" spans="6:7" x14ac:dyDescent="0.3">
      <c r="F4379" s="90"/>
      <c r="G4379" s="90"/>
    </row>
    <row r="4380" spans="6:7" x14ac:dyDescent="0.3">
      <c r="F4380" s="90"/>
      <c r="G4380" s="90"/>
    </row>
    <row r="4381" spans="6:7" x14ac:dyDescent="0.3">
      <c r="F4381" s="90"/>
      <c r="G4381" s="90"/>
    </row>
    <row r="4382" spans="6:7" x14ac:dyDescent="0.3">
      <c r="F4382" s="90"/>
      <c r="G4382" s="90"/>
    </row>
    <row r="4383" spans="6:7" x14ac:dyDescent="0.3">
      <c r="F4383" s="90"/>
      <c r="G4383" s="90"/>
    </row>
    <row r="4384" spans="6:7" x14ac:dyDescent="0.3">
      <c r="F4384" s="90"/>
      <c r="G4384" s="90"/>
    </row>
    <row r="4385" spans="6:7" x14ac:dyDescent="0.3">
      <c r="F4385" s="90"/>
      <c r="G4385" s="90"/>
    </row>
    <row r="4386" spans="6:7" x14ac:dyDescent="0.3">
      <c r="F4386" s="90"/>
      <c r="G4386" s="90"/>
    </row>
    <row r="4387" spans="6:7" x14ac:dyDescent="0.3">
      <c r="F4387" s="90"/>
      <c r="G4387" s="90"/>
    </row>
    <row r="4388" spans="6:7" x14ac:dyDescent="0.3">
      <c r="F4388" s="90"/>
      <c r="G4388" s="90"/>
    </row>
    <row r="4389" spans="6:7" x14ac:dyDescent="0.3">
      <c r="F4389" s="90"/>
      <c r="G4389" s="90"/>
    </row>
    <row r="4390" spans="6:7" x14ac:dyDescent="0.3">
      <c r="F4390" s="90"/>
      <c r="G4390" s="90"/>
    </row>
    <row r="4391" spans="6:7" x14ac:dyDescent="0.3">
      <c r="F4391" s="90"/>
      <c r="G4391" s="90"/>
    </row>
    <row r="4392" spans="6:7" x14ac:dyDescent="0.3">
      <c r="F4392" s="90"/>
      <c r="G4392" s="90"/>
    </row>
    <row r="4393" spans="6:7" x14ac:dyDescent="0.3">
      <c r="F4393" s="90"/>
      <c r="G4393" s="90"/>
    </row>
    <row r="4394" spans="6:7" x14ac:dyDescent="0.3">
      <c r="F4394" s="90"/>
      <c r="G4394" s="90"/>
    </row>
    <row r="4395" spans="6:7" x14ac:dyDescent="0.3">
      <c r="F4395" s="90"/>
      <c r="G4395" s="90"/>
    </row>
    <row r="4396" spans="6:7" x14ac:dyDescent="0.3">
      <c r="F4396" s="90"/>
      <c r="G4396" s="90"/>
    </row>
    <row r="4397" spans="6:7" x14ac:dyDescent="0.3">
      <c r="F4397" s="90"/>
      <c r="G4397" s="90"/>
    </row>
    <row r="4398" spans="6:7" x14ac:dyDescent="0.3">
      <c r="F4398" s="90"/>
      <c r="G4398" s="90"/>
    </row>
    <row r="4399" spans="6:7" x14ac:dyDescent="0.3">
      <c r="F4399" s="90"/>
      <c r="G4399" s="90"/>
    </row>
    <row r="4400" spans="6:7" x14ac:dyDescent="0.3">
      <c r="F4400" s="90"/>
      <c r="G4400" s="90"/>
    </row>
    <row r="4401" spans="6:7" x14ac:dyDescent="0.3">
      <c r="F4401" s="90"/>
      <c r="G4401" s="90"/>
    </row>
    <row r="4402" spans="6:7" x14ac:dyDescent="0.3">
      <c r="F4402" s="90"/>
      <c r="G4402" s="90"/>
    </row>
    <row r="4403" spans="6:7" x14ac:dyDescent="0.3">
      <c r="F4403" s="90"/>
      <c r="G4403" s="90"/>
    </row>
    <row r="4404" spans="6:7" x14ac:dyDescent="0.3">
      <c r="F4404" s="90"/>
      <c r="G4404" s="90"/>
    </row>
    <row r="4405" spans="6:7" x14ac:dyDescent="0.3">
      <c r="F4405" s="90"/>
      <c r="G4405" s="90"/>
    </row>
    <row r="4406" spans="6:7" x14ac:dyDescent="0.3">
      <c r="F4406" s="90"/>
      <c r="G4406" s="90"/>
    </row>
    <row r="4407" spans="6:7" x14ac:dyDescent="0.3">
      <c r="F4407" s="90"/>
      <c r="G4407" s="90"/>
    </row>
    <row r="4408" spans="6:7" x14ac:dyDescent="0.3">
      <c r="F4408" s="90"/>
      <c r="G4408" s="90"/>
    </row>
    <row r="4409" spans="6:7" x14ac:dyDescent="0.3">
      <c r="F4409" s="90"/>
      <c r="G4409" s="90"/>
    </row>
    <row r="4410" spans="6:7" x14ac:dyDescent="0.3">
      <c r="F4410" s="90"/>
      <c r="G4410" s="90"/>
    </row>
    <row r="4411" spans="6:7" x14ac:dyDescent="0.3">
      <c r="F4411" s="90"/>
      <c r="G4411" s="90"/>
    </row>
    <row r="4412" spans="6:7" x14ac:dyDescent="0.3">
      <c r="F4412" s="90"/>
      <c r="G4412" s="90"/>
    </row>
    <row r="4413" spans="6:7" x14ac:dyDescent="0.3">
      <c r="F4413" s="90"/>
      <c r="G4413" s="90"/>
    </row>
    <row r="4414" spans="6:7" x14ac:dyDescent="0.3">
      <c r="F4414" s="90"/>
      <c r="G4414" s="90"/>
    </row>
    <row r="4415" spans="6:7" x14ac:dyDescent="0.3">
      <c r="F4415" s="90"/>
      <c r="G4415" s="90"/>
    </row>
    <row r="4416" spans="6:7" x14ac:dyDescent="0.3">
      <c r="F4416" s="90"/>
      <c r="G4416" s="90"/>
    </row>
    <row r="4417" spans="6:7" x14ac:dyDescent="0.3">
      <c r="F4417" s="90"/>
      <c r="G4417" s="90"/>
    </row>
    <row r="4418" spans="6:7" x14ac:dyDescent="0.3">
      <c r="F4418" s="90"/>
      <c r="G4418" s="90"/>
    </row>
    <row r="4419" spans="6:7" x14ac:dyDescent="0.3">
      <c r="F4419" s="90"/>
      <c r="G4419" s="90"/>
    </row>
    <row r="4420" spans="6:7" x14ac:dyDescent="0.3">
      <c r="F4420" s="90"/>
      <c r="G4420" s="90"/>
    </row>
    <row r="4421" spans="6:7" x14ac:dyDescent="0.3">
      <c r="F4421" s="90"/>
      <c r="G4421" s="90"/>
    </row>
    <row r="4422" spans="6:7" x14ac:dyDescent="0.3">
      <c r="F4422" s="90"/>
      <c r="G4422" s="90"/>
    </row>
    <row r="4423" spans="6:7" x14ac:dyDescent="0.3">
      <c r="F4423" s="90"/>
      <c r="G4423" s="90"/>
    </row>
    <row r="4424" spans="6:7" x14ac:dyDescent="0.3">
      <c r="F4424" s="90"/>
      <c r="G4424" s="90"/>
    </row>
    <row r="4425" spans="6:7" x14ac:dyDescent="0.3">
      <c r="F4425" s="90"/>
      <c r="G4425" s="90"/>
    </row>
    <row r="4426" spans="6:7" x14ac:dyDescent="0.3">
      <c r="F4426" s="90"/>
      <c r="G4426" s="90"/>
    </row>
    <row r="4427" spans="6:7" x14ac:dyDescent="0.3">
      <c r="F4427" s="90"/>
      <c r="G4427" s="90"/>
    </row>
    <row r="4428" spans="6:7" x14ac:dyDescent="0.3">
      <c r="F4428" s="90"/>
      <c r="G4428" s="90"/>
    </row>
    <row r="4429" spans="6:7" x14ac:dyDescent="0.3">
      <c r="F4429" s="90"/>
      <c r="G4429" s="90"/>
    </row>
    <row r="4430" spans="6:7" x14ac:dyDescent="0.3">
      <c r="F4430" s="90"/>
      <c r="G4430" s="90"/>
    </row>
    <row r="4431" spans="6:7" x14ac:dyDescent="0.3">
      <c r="F4431" s="90"/>
      <c r="G4431" s="90"/>
    </row>
    <row r="4432" spans="6:7" x14ac:dyDescent="0.3">
      <c r="F4432" s="90"/>
      <c r="G4432" s="90"/>
    </row>
    <row r="4433" spans="6:7" x14ac:dyDescent="0.3">
      <c r="F4433" s="90"/>
      <c r="G4433" s="90"/>
    </row>
    <row r="4434" spans="6:7" x14ac:dyDescent="0.3">
      <c r="F4434" s="90"/>
      <c r="G4434" s="90"/>
    </row>
    <row r="4435" spans="6:7" x14ac:dyDescent="0.3">
      <c r="F4435" s="90"/>
      <c r="G4435" s="90"/>
    </row>
    <row r="4436" spans="6:7" x14ac:dyDescent="0.3">
      <c r="F4436" s="90"/>
      <c r="G4436" s="90"/>
    </row>
    <row r="4437" spans="6:7" x14ac:dyDescent="0.3">
      <c r="F4437" s="90"/>
      <c r="G4437" s="90"/>
    </row>
    <row r="4438" spans="6:7" x14ac:dyDescent="0.3">
      <c r="F4438" s="90"/>
      <c r="G4438" s="90"/>
    </row>
    <row r="4439" spans="6:7" x14ac:dyDescent="0.3">
      <c r="F4439" s="90"/>
      <c r="G4439" s="90"/>
    </row>
    <row r="4440" spans="6:7" x14ac:dyDescent="0.3">
      <c r="F4440" s="90"/>
      <c r="G4440" s="90"/>
    </row>
    <row r="4441" spans="6:7" x14ac:dyDescent="0.3">
      <c r="F4441" s="90"/>
      <c r="G4441" s="90"/>
    </row>
    <row r="4442" spans="6:7" x14ac:dyDescent="0.3">
      <c r="F4442" s="90"/>
      <c r="G4442" s="90"/>
    </row>
    <row r="4443" spans="6:7" x14ac:dyDescent="0.3">
      <c r="F4443" s="90"/>
      <c r="G4443" s="90"/>
    </row>
    <row r="4444" spans="6:7" x14ac:dyDescent="0.3">
      <c r="F4444" s="90"/>
      <c r="G4444" s="90"/>
    </row>
    <row r="4445" spans="6:7" x14ac:dyDescent="0.3">
      <c r="F4445" s="90"/>
      <c r="G4445" s="90"/>
    </row>
    <row r="4446" spans="6:7" x14ac:dyDescent="0.3">
      <c r="F4446" s="90"/>
      <c r="G4446" s="90"/>
    </row>
    <row r="4447" spans="6:7" x14ac:dyDescent="0.3">
      <c r="F4447" s="90"/>
      <c r="G4447" s="90"/>
    </row>
    <row r="4448" spans="6:7" x14ac:dyDescent="0.3">
      <c r="F4448" s="90"/>
      <c r="G4448" s="90"/>
    </row>
    <row r="4449" spans="6:7" x14ac:dyDescent="0.3">
      <c r="F4449" s="90"/>
      <c r="G4449" s="90"/>
    </row>
    <row r="4450" spans="6:7" x14ac:dyDescent="0.3">
      <c r="F4450" s="90"/>
      <c r="G4450" s="90"/>
    </row>
    <row r="4451" spans="6:7" x14ac:dyDescent="0.3">
      <c r="F4451" s="90"/>
      <c r="G4451" s="90"/>
    </row>
    <row r="4452" spans="6:7" x14ac:dyDescent="0.3">
      <c r="F4452" s="90"/>
      <c r="G4452" s="90"/>
    </row>
    <row r="4453" spans="6:7" x14ac:dyDescent="0.3">
      <c r="F4453" s="90"/>
      <c r="G4453" s="90"/>
    </row>
    <row r="4454" spans="6:7" x14ac:dyDescent="0.3">
      <c r="F4454" s="90"/>
      <c r="G4454" s="90"/>
    </row>
    <row r="4455" spans="6:7" x14ac:dyDescent="0.3">
      <c r="F4455" s="90"/>
      <c r="G4455" s="90"/>
    </row>
    <row r="4456" spans="6:7" x14ac:dyDescent="0.3">
      <c r="F4456" s="90"/>
      <c r="G4456" s="90"/>
    </row>
    <row r="4457" spans="6:7" x14ac:dyDescent="0.3">
      <c r="F4457" s="90"/>
      <c r="G4457" s="90"/>
    </row>
    <row r="4458" spans="6:7" x14ac:dyDescent="0.3">
      <c r="F4458" s="90"/>
      <c r="G4458" s="90"/>
    </row>
    <row r="4459" spans="6:7" x14ac:dyDescent="0.3">
      <c r="F4459" s="90"/>
      <c r="G4459" s="90"/>
    </row>
    <row r="4460" spans="6:7" x14ac:dyDescent="0.3">
      <c r="F4460" s="90"/>
      <c r="G4460" s="90"/>
    </row>
    <row r="4461" spans="6:7" x14ac:dyDescent="0.3">
      <c r="F4461" s="90"/>
      <c r="G4461" s="90"/>
    </row>
    <row r="4462" spans="6:7" x14ac:dyDescent="0.3">
      <c r="F4462" s="90"/>
      <c r="G4462" s="90"/>
    </row>
    <row r="4463" spans="6:7" x14ac:dyDescent="0.3">
      <c r="F4463" s="90"/>
      <c r="G4463" s="90"/>
    </row>
    <row r="4464" spans="6:7" x14ac:dyDescent="0.3">
      <c r="F4464" s="90"/>
      <c r="G4464" s="90"/>
    </row>
    <row r="4465" spans="6:7" x14ac:dyDescent="0.3">
      <c r="F4465" s="90"/>
      <c r="G4465" s="90"/>
    </row>
    <row r="4466" spans="6:7" x14ac:dyDescent="0.3">
      <c r="F4466" s="90"/>
      <c r="G4466" s="90"/>
    </row>
    <row r="4467" spans="6:7" x14ac:dyDescent="0.3">
      <c r="F4467" s="90"/>
      <c r="G4467" s="90"/>
    </row>
    <row r="4468" spans="6:7" x14ac:dyDescent="0.3">
      <c r="F4468" s="90"/>
      <c r="G4468" s="90"/>
    </row>
    <row r="4469" spans="6:7" x14ac:dyDescent="0.3">
      <c r="F4469" s="90"/>
      <c r="G4469" s="90"/>
    </row>
    <row r="4470" spans="6:7" x14ac:dyDescent="0.3">
      <c r="F4470" s="90"/>
      <c r="G4470" s="90"/>
    </row>
    <row r="4471" spans="6:7" x14ac:dyDescent="0.3">
      <c r="F4471" s="90"/>
      <c r="G4471" s="90"/>
    </row>
    <row r="4472" spans="6:7" x14ac:dyDescent="0.3">
      <c r="F4472" s="90"/>
      <c r="G4472" s="90"/>
    </row>
    <row r="4473" spans="6:7" x14ac:dyDescent="0.3">
      <c r="F4473" s="90"/>
      <c r="G4473" s="90"/>
    </row>
    <row r="4474" spans="6:7" x14ac:dyDescent="0.3">
      <c r="F4474" s="90"/>
      <c r="G4474" s="90"/>
    </row>
    <row r="4475" spans="6:7" x14ac:dyDescent="0.3">
      <c r="F4475" s="90"/>
      <c r="G4475" s="90"/>
    </row>
    <row r="4476" spans="6:7" x14ac:dyDescent="0.3">
      <c r="F4476" s="90"/>
      <c r="G4476" s="90"/>
    </row>
    <row r="4477" spans="6:7" x14ac:dyDescent="0.3">
      <c r="F4477" s="90"/>
      <c r="G4477" s="90"/>
    </row>
    <row r="4478" spans="6:7" x14ac:dyDescent="0.3">
      <c r="F4478" s="90"/>
      <c r="G4478" s="90"/>
    </row>
    <row r="4479" spans="6:7" x14ac:dyDescent="0.3">
      <c r="F4479" s="90"/>
      <c r="G4479" s="90"/>
    </row>
    <row r="4480" spans="6:7" x14ac:dyDescent="0.3">
      <c r="F4480" s="90"/>
      <c r="G4480" s="90"/>
    </row>
    <row r="4481" spans="6:7" x14ac:dyDescent="0.3">
      <c r="F4481" s="90"/>
      <c r="G4481" s="90"/>
    </row>
    <row r="4482" spans="6:7" x14ac:dyDescent="0.3">
      <c r="F4482" s="90"/>
      <c r="G4482" s="90"/>
    </row>
    <row r="4483" spans="6:7" x14ac:dyDescent="0.3">
      <c r="F4483" s="90"/>
      <c r="G4483" s="90"/>
    </row>
    <row r="4484" spans="6:7" x14ac:dyDescent="0.3">
      <c r="F4484" s="90"/>
      <c r="G4484" s="90"/>
    </row>
    <row r="4485" spans="6:7" x14ac:dyDescent="0.3">
      <c r="F4485" s="90"/>
      <c r="G4485" s="90"/>
    </row>
    <row r="4486" spans="6:7" x14ac:dyDescent="0.3">
      <c r="F4486" s="90"/>
      <c r="G4486" s="90"/>
    </row>
    <row r="4487" spans="6:7" x14ac:dyDescent="0.3">
      <c r="F4487" s="90"/>
      <c r="G4487" s="90"/>
    </row>
    <row r="4488" spans="6:7" x14ac:dyDescent="0.3">
      <c r="F4488" s="90"/>
      <c r="G4488" s="90"/>
    </row>
    <row r="4489" spans="6:7" x14ac:dyDescent="0.3">
      <c r="F4489" s="90"/>
      <c r="G4489" s="90"/>
    </row>
    <row r="4490" spans="6:7" x14ac:dyDescent="0.3">
      <c r="F4490" s="90"/>
      <c r="G4490" s="90"/>
    </row>
    <row r="4491" spans="6:7" x14ac:dyDescent="0.3">
      <c r="F4491" s="90"/>
      <c r="G4491" s="90"/>
    </row>
    <row r="4492" spans="6:7" x14ac:dyDescent="0.3">
      <c r="F4492" s="90"/>
      <c r="G4492" s="90"/>
    </row>
    <row r="4493" spans="6:7" x14ac:dyDescent="0.3">
      <c r="F4493" s="90"/>
      <c r="G4493" s="90"/>
    </row>
    <row r="4494" spans="6:7" x14ac:dyDescent="0.3">
      <c r="F4494" s="90"/>
      <c r="G4494" s="90"/>
    </row>
    <row r="4495" spans="6:7" x14ac:dyDescent="0.3">
      <c r="F4495" s="90"/>
      <c r="G4495" s="90"/>
    </row>
    <row r="4496" spans="6:7" x14ac:dyDescent="0.3">
      <c r="F4496" s="90"/>
      <c r="G4496" s="90"/>
    </row>
    <row r="4497" spans="6:7" x14ac:dyDescent="0.3">
      <c r="F4497" s="90"/>
      <c r="G4497" s="90"/>
    </row>
    <row r="4498" spans="6:7" x14ac:dyDescent="0.3">
      <c r="F4498" s="90"/>
      <c r="G4498" s="90"/>
    </row>
    <row r="4499" spans="6:7" x14ac:dyDescent="0.3">
      <c r="F4499" s="90"/>
      <c r="G4499" s="90"/>
    </row>
    <row r="4500" spans="6:7" x14ac:dyDescent="0.3">
      <c r="F4500" s="90"/>
      <c r="G4500" s="90"/>
    </row>
    <row r="4501" spans="6:7" x14ac:dyDescent="0.3">
      <c r="F4501" s="90"/>
      <c r="G4501" s="90"/>
    </row>
    <row r="4502" spans="6:7" x14ac:dyDescent="0.3">
      <c r="F4502" s="90"/>
      <c r="G4502" s="90"/>
    </row>
    <row r="4503" spans="6:7" x14ac:dyDescent="0.3">
      <c r="F4503" s="90"/>
      <c r="G4503" s="90"/>
    </row>
    <row r="4504" spans="6:7" x14ac:dyDescent="0.3">
      <c r="F4504" s="90"/>
      <c r="G4504" s="90"/>
    </row>
    <row r="4505" spans="6:7" x14ac:dyDescent="0.3">
      <c r="F4505" s="90"/>
      <c r="G4505" s="90"/>
    </row>
    <row r="4506" spans="6:7" x14ac:dyDescent="0.3">
      <c r="F4506" s="90"/>
      <c r="G4506" s="90"/>
    </row>
    <row r="4507" spans="6:7" x14ac:dyDescent="0.3">
      <c r="F4507" s="90"/>
      <c r="G4507" s="90"/>
    </row>
    <row r="4508" spans="6:7" x14ac:dyDescent="0.3">
      <c r="F4508" s="90"/>
      <c r="G4508" s="90"/>
    </row>
    <row r="4509" spans="6:7" x14ac:dyDescent="0.3">
      <c r="F4509" s="90"/>
      <c r="G4509" s="90"/>
    </row>
    <row r="4510" spans="6:7" x14ac:dyDescent="0.3">
      <c r="F4510" s="90"/>
      <c r="G4510" s="90"/>
    </row>
    <row r="4511" spans="6:7" x14ac:dyDescent="0.3">
      <c r="F4511" s="90"/>
      <c r="G4511" s="90"/>
    </row>
    <row r="4512" spans="6:7" x14ac:dyDescent="0.3">
      <c r="F4512" s="90"/>
      <c r="G4512" s="90"/>
    </row>
    <row r="4513" spans="6:7" x14ac:dyDescent="0.3">
      <c r="F4513" s="90"/>
      <c r="G4513" s="90"/>
    </row>
    <row r="4514" spans="6:7" x14ac:dyDescent="0.3">
      <c r="F4514" s="90"/>
      <c r="G4514" s="90"/>
    </row>
    <row r="4515" spans="6:7" x14ac:dyDescent="0.3">
      <c r="F4515" s="90"/>
      <c r="G4515" s="90"/>
    </row>
    <row r="4516" spans="6:7" x14ac:dyDescent="0.3">
      <c r="F4516" s="90"/>
      <c r="G4516" s="90"/>
    </row>
    <row r="4517" spans="6:7" x14ac:dyDescent="0.3">
      <c r="F4517" s="90"/>
      <c r="G4517" s="90"/>
    </row>
    <row r="4518" spans="6:7" x14ac:dyDescent="0.3">
      <c r="F4518" s="90"/>
      <c r="G4518" s="90"/>
    </row>
    <row r="4519" spans="6:7" x14ac:dyDescent="0.3">
      <c r="F4519" s="90"/>
      <c r="G4519" s="90"/>
    </row>
    <row r="4520" spans="6:7" x14ac:dyDescent="0.3">
      <c r="F4520" s="90"/>
      <c r="G4520" s="90"/>
    </row>
    <row r="4521" spans="6:7" x14ac:dyDescent="0.3">
      <c r="F4521" s="90"/>
      <c r="G4521" s="90"/>
    </row>
    <row r="4522" spans="6:7" x14ac:dyDescent="0.3">
      <c r="F4522" s="90"/>
      <c r="G4522" s="90"/>
    </row>
    <row r="4523" spans="6:7" x14ac:dyDescent="0.3">
      <c r="F4523" s="90"/>
      <c r="G4523" s="90"/>
    </row>
    <row r="4524" spans="6:7" x14ac:dyDescent="0.3">
      <c r="F4524" s="90"/>
      <c r="G4524" s="90"/>
    </row>
    <row r="4525" spans="6:7" x14ac:dyDescent="0.3">
      <c r="F4525" s="90"/>
      <c r="G4525" s="90"/>
    </row>
    <row r="4526" spans="6:7" x14ac:dyDescent="0.3">
      <c r="F4526" s="90"/>
      <c r="G4526" s="90"/>
    </row>
    <row r="4527" spans="6:7" x14ac:dyDescent="0.3">
      <c r="F4527" s="90"/>
      <c r="G4527" s="90"/>
    </row>
    <row r="4528" spans="6:7" x14ac:dyDescent="0.3">
      <c r="F4528" s="90"/>
      <c r="G4528" s="90"/>
    </row>
    <row r="4529" spans="6:7" x14ac:dyDescent="0.3">
      <c r="F4529" s="90"/>
      <c r="G4529" s="90"/>
    </row>
    <row r="4530" spans="6:7" x14ac:dyDescent="0.3">
      <c r="F4530" s="90"/>
      <c r="G4530" s="90"/>
    </row>
    <row r="4531" spans="6:7" x14ac:dyDescent="0.3">
      <c r="F4531" s="90"/>
      <c r="G4531" s="90"/>
    </row>
    <row r="4532" spans="6:7" x14ac:dyDescent="0.3">
      <c r="F4532" s="90"/>
      <c r="G4532" s="90"/>
    </row>
    <row r="4533" spans="6:7" x14ac:dyDescent="0.3">
      <c r="F4533" s="90"/>
      <c r="G4533" s="90"/>
    </row>
    <row r="4534" spans="6:7" x14ac:dyDescent="0.3">
      <c r="F4534" s="90"/>
      <c r="G4534" s="90"/>
    </row>
    <row r="4535" spans="6:7" x14ac:dyDescent="0.3">
      <c r="F4535" s="90"/>
      <c r="G4535" s="90"/>
    </row>
    <row r="4536" spans="6:7" x14ac:dyDescent="0.3">
      <c r="F4536" s="90"/>
      <c r="G4536" s="90"/>
    </row>
    <row r="4537" spans="6:7" x14ac:dyDescent="0.3">
      <c r="F4537" s="90"/>
      <c r="G4537" s="90"/>
    </row>
    <row r="4538" spans="6:7" x14ac:dyDescent="0.3">
      <c r="F4538" s="90"/>
      <c r="G4538" s="90"/>
    </row>
    <row r="4539" spans="6:7" x14ac:dyDescent="0.3">
      <c r="F4539" s="90"/>
      <c r="G4539" s="90"/>
    </row>
    <row r="4540" spans="6:7" x14ac:dyDescent="0.3">
      <c r="F4540" s="90"/>
      <c r="G4540" s="90"/>
    </row>
    <row r="4541" spans="6:7" x14ac:dyDescent="0.3">
      <c r="F4541" s="90"/>
      <c r="G4541" s="90"/>
    </row>
    <row r="4542" spans="6:7" x14ac:dyDescent="0.3">
      <c r="F4542" s="90"/>
      <c r="G4542" s="90"/>
    </row>
    <row r="4543" spans="6:7" x14ac:dyDescent="0.3">
      <c r="F4543" s="90"/>
      <c r="G4543" s="90"/>
    </row>
    <row r="4544" spans="6:7" x14ac:dyDescent="0.3">
      <c r="F4544" s="90"/>
      <c r="G4544" s="90"/>
    </row>
    <row r="4545" spans="6:7" x14ac:dyDescent="0.3">
      <c r="F4545" s="90"/>
      <c r="G4545" s="90"/>
    </row>
    <row r="4546" spans="6:7" x14ac:dyDescent="0.3">
      <c r="F4546" s="90"/>
      <c r="G4546" s="90"/>
    </row>
    <row r="4547" spans="6:7" x14ac:dyDescent="0.3">
      <c r="F4547" s="90"/>
      <c r="G4547" s="90"/>
    </row>
    <row r="4548" spans="6:7" x14ac:dyDescent="0.3">
      <c r="F4548" s="90"/>
      <c r="G4548" s="90"/>
    </row>
    <row r="4549" spans="6:7" x14ac:dyDescent="0.3">
      <c r="F4549" s="90"/>
      <c r="G4549" s="90"/>
    </row>
    <row r="4550" spans="6:7" x14ac:dyDescent="0.3">
      <c r="F4550" s="90"/>
      <c r="G4550" s="90"/>
    </row>
    <row r="4551" spans="6:7" x14ac:dyDescent="0.3">
      <c r="F4551" s="90"/>
      <c r="G4551" s="90"/>
    </row>
    <row r="4552" spans="6:7" x14ac:dyDescent="0.3">
      <c r="F4552" s="90"/>
      <c r="G4552" s="90"/>
    </row>
    <row r="4553" spans="6:7" x14ac:dyDescent="0.3">
      <c r="F4553" s="90"/>
      <c r="G4553" s="90"/>
    </row>
    <row r="4554" spans="6:7" x14ac:dyDescent="0.3">
      <c r="F4554" s="90"/>
      <c r="G4554" s="90"/>
    </row>
    <row r="4555" spans="6:7" x14ac:dyDescent="0.3">
      <c r="F4555" s="90"/>
      <c r="G4555" s="90"/>
    </row>
    <row r="4556" spans="6:7" x14ac:dyDescent="0.3">
      <c r="F4556" s="90"/>
      <c r="G4556" s="90"/>
    </row>
    <row r="4557" spans="6:7" x14ac:dyDescent="0.3">
      <c r="F4557" s="90"/>
      <c r="G4557" s="90"/>
    </row>
    <row r="4558" spans="6:7" x14ac:dyDescent="0.3">
      <c r="F4558" s="90"/>
      <c r="G4558" s="90"/>
    </row>
    <row r="4559" spans="6:7" x14ac:dyDescent="0.3">
      <c r="F4559" s="90"/>
      <c r="G4559" s="90"/>
    </row>
    <row r="4560" spans="6:7" x14ac:dyDescent="0.3">
      <c r="F4560" s="90"/>
      <c r="G4560" s="90"/>
    </row>
    <row r="4561" spans="6:7" x14ac:dyDescent="0.3">
      <c r="F4561" s="90"/>
      <c r="G4561" s="90"/>
    </row>
    <row r="4562" spans="6:7" x14ac:dyDescent="0.3">
      <c r="F4562" s="90"/>
      <c r="G4562" s="90"/>
    </row>
    <row r="4563" spans="6:7" x14ac:dyDescent="0.3">
      <c r="F4563" s="90"/>
      <c r="G4563" s="90"/>
    </row>
    <row r="4564" spans="6:7" x14ac:dyDescent="0.3">
      <c r="F4564" s="90"/>
      <c r="G4564" s="90"/>
    </row>
    <row r="4565" spans="6:7" x14ac:dyDescent="0.3">
      <c r="F4565" s="90"/>
      <c r="G4565" s="90"/>
    </row>
    <row r="4566" spans="6:7" x14ac:dyDescent="0.3">
      <c r="F4566" s="90"/>
      <c r="G4566" s="90"/>
    </row>
    <row r="4567" spans="6:7" x14ac:dyDescent="0.3">
      <c r="F4567" s="90"/>
      <c r="G4567" s="90"/>
    </row>
    <row r="4568" spans="6:7" x14ac:dyDescent="0.3">
      <c r="F4568" s="90"/>
      <c r="G4568" s="90"/>
    </row>
    <row r="4569" spans="6:7" x14ac:dyDescent="0.3">
      <c r="F4569" s="90"/>
      <c r="G4569" s="90"/>
    </row>
    <row r="4570" spans="6:7" x14ac:dyDescent="0.3">
      <c r="F4570" s="90"/>
      <c r="G4570" s="90"/>
    </row>
    <row r="4571" spans="6:7" x14ac:dyDescent="0.3">
      <c r="F4571" s="90"/>
      <c r="G4571" s="90"/>
    </row>
    <row r="4572" spans="6:7" x14ac:dyDescent="0.3">
      <c r="F4572" s="90"/>
      <c r="G4572" s="90"/>
    </row>
    <row r="4573" spans="6:7" x14ac:dyDescent="0.3">
      <c r="F4573" s="90"/>
      <c r="G4573" s="90"/>
    </row>
    <row r="4574" spans="6:7" x14ac:dyDescent="0.3">
      <c r="F4574" s="90"/>
      <c r="G4574" s="90"/>
    </row>
    <row r="4575" spans="6:7" x14ac:dyDescent="0.3">
      <c r="F4575" s="90"/>
      <c r="G4575" s="90"/>
    </row>
    <row r="4576" spans="6:7" x14ac:dyDescent="0.3">
      <c r="F4576" s="90"/>
      <c r="G4576" s="90"/>
    </row>
    <row r="4577" spans="6:7" x14ac:dyDescent="0.3">
      <c r="F4577" s="90"/>
      <c r="G4577" s="90"/>
    </row>
    <row r="4578" spans="6:7" x14ac:dyDescent="0.3">
      <c r="F4578" s="90"/>
      <c r="G4578" s="90"/>
    </row>
    <row r="4579" spans="6:7" x14ac:dyDescent="0.3">
      <c r="F4579" s="90"/>
      <c r="G4579" s="90"/>
    </row>
    <row r="4580" spans="6:7" x14ac:dyDescent="0.3">
      <c r="F4580" s="90"/>
      <c r="G4580" s="90"/>
    </row>
    <row r="4581" spans="6:7" x14ac:dyDescent="0.3">
      <c r="F4581" s="90"/>
      <c r="G4581" s="90"/>
    </row>
    <row r="4582" spans="6:7" x14ac:dyDescent="0.3">
      <c r="F4582" s="90"/>
      <c r="G4582" s="90"/>
    </row>
    <row r="4583" spans="6:7" x14ac:dyDescent="0.3">
      <c r="F4583" s="90"/>
      <c r="G4583" s="90"/>
    </row>
    <row r="4584" spans="6:7" x14ac:dyDescent="0.3">
      <c r="F4584" s="90"/>
      <c r="G4584" s="90"/>
    </row>
    <row r="4585" spans="6:7" x14ac:dyDescent="0.3">
      <c r="F4585" s="90"/>
      <c r="G4585" s="90"/>
    </row>
    <row r="4586" spans="6:7" x14ac:dyDescent="0.3">
      <c r="F4586" s="90"/>
      <c r="G4586" s="90"/>
    </row>
    <row r="4587" spans="6:7" x14ac:dyDescent="0.3">
      <c r="F4587" s="90"/>
      <c r="G4587" s="90"/>
    </row>
    <row r="4588" spans="6:7" x14ac:dyDescent="0.3">
      <c r="F4588" s="90"/>
      <c r="G4588" s="90"/>
    </row>
    <row r="4589" spans="6:7" x14ac:dyDescent="0.3">
      <c r="F4589" s="90"/>
      <c r="G4589" s="90"/>
    </row>
    <row r="4590" spans="6:7" x14ac:dyDescent="0.3">
      <c r="F4590" s="90"/>
      <c r="G4590" s="90"/>
    </row>
    <row r="4591" spans="6:7" x14ac:dyDescent="0.3">
      <c r="F4591" s="90"/>
      <c r="G4591" s="90"/>
    </row>
    <row r="4592" spans="6:7" x14ac:dyDescent="0.3">
      <c r="F4592" s="90"/>
      <c r="G4592" s="90"/>
    </row>
    <row r="4593" spans="6:7" x14ac:dyDescent="0.3">
      <c r="F4593" s="90"/>
      <c r="G4593" s="90"/>
    </row>
    <row r="4594" spans="6:7" x14ac:dyDescent="0.3">
      <c r="F4594" s="90"/>
      <c r="G4594" s="90"/>
    </row>
    <row r="4595" spans="6:7" x14ac:dyDescent="0.3">
      <c r="F4595" s="90"/>
      <c r="G4595" s="90"/>
    </row>
    <row r="4596" spans="6:7" x14ac:dyDescent="0.3">
      <c r="F4596" s="90"/>
      <c r="G4596" s="90"/>
    </row>
    <row r="4597" spans="6:7" x14ac:dyDescent="0.3">
      <c r="F4597" s="90"/>
      <c r="G4597" s="90"/>
    </row>
    <row r="4598" spans="6:7" x14ac:dyDescent="0.3">
      <c r="F4598" s="90"/>
      <c r="G4598" s="90"/>
    </row>
    <row r="4599" spans="6:7" x14ac:dyDescent="0.3">
      <c r="F4599" s="90"/>
      <c r="G4599" s="90"/>
    </row>
    <row r="4600" spans="6:7" x14ac:dyDescent="0.3">
      <c r="F4600" s="90"/>
      <c r="G4600" s="90"/>
    </row>
    <row r="4601" spans="6:7" x14ac:dyDescent="0.3">
      <c r="F4601" s="90"/>
      <c r="G4601" s="90"/>
    </row>
    <row r="4602" spans="6:7" x14ac:dyDescent="0.3">
      <c r="F4602" s="90"/>
      <c r="G4602" s="90"/>
    </row>
    <row r="4603" spans="6:7" x14ac:dyDescent="0.3">
      <c r="F4603" s="90"/>
      <c r="G4603" s="90"/>
    </row>
    <row r="4604" spans="6:7" x14ac:dyDescent="0.3">
      <c r="F4604" s="90"/>
      <c r="G4604" s="90"/>
    </row>
    <row r="4605" spans="6:7" x14ac:dyDescent="0.3">
      <c r="F4605" s="90"/>
      <c r="G4605" s="90"/>
    </row>
    <row r="4606" spans="6:7" x14ac:dyDescent="0.3">
      <c r="F4606" s="90"/>
      <c r="G4606" s="90"/>
    </row>
    <row r="4607" spans="6:7" x14ac:dyDescent="0.3">
      <c r="F4607" s="90"/>
      <c r="G4607" s="90"/>
    </row>
    <row r="4608" spans="6:7" x14ac:dyDescent="0.3">
      <c r="F4608" s="90"/>
      <c r="G4608" s="90"/>
    </row>
    <row r="4609" spans="6:7" x14ac:dyDescent="0.3">
      <c r="F4609" s="90"/>
      <c r="G4609" s="90"/>
    </row>
    <row r="4610" spans="6:7" x14ac:dyDescent="0.3">
      <c r="F4610" s="90"/>
      <c r="G4610" s="90"/>
    </row>
    <row r="4611" spans="6:7" x14ac:dyDescent="0.3">
      <c r="F4611" s="90"/>
      <c r="G4611" s="90"/>
    </row>
    <row r="4612" spans="6:7" x14ac:dyDescent="0.3">
      <c r="F4612" s="90"/>
      <c r="G4612" s="90"/>
    </row>
    <row r="4613" spans="6:7" x14ac:dyDescent="0.3">
      <c r="F4613" s="90"/>
      <c r="G4613" s="90"/>
    </row>
    <row r="4614" spans="6:7" x14ac:dyDescent="0.3">
      <c r="F4614" s="90"/>
      <c r="G4614" s="90"/>
    </row>
    <row r="4615" spans="6:7" x14ac:dyDescent="0.3">
      <c r="F4615" s="90"/>
      <c r="G4615" s="90"/>
    </row>
    <row r="4616" spans="6:7" x14ac:dyDescent="0.3">
      <c r="F4616" s="90"/>
      <c r="G4616" s="90"/>
    </row>
    <row r="4617" spans="6:7" x14ac:dyDescent="0.3">
      <c r="F4617" s="90"/>
      <c r="G4617" s="90"/>
    </row>
    <row r="4618" spans="6:7" x14ac:dyDescent="0.3">
      <c r="F4618" s="90"/>
      <c r="G4618" s="90"/>
    </row>
    <row r="4619" spans="6:7" x14ac:dyDescent="0.3">
      <c r="F4619" s="90"/>
      <c r="G4619" s="90"/>
    </row>
    <row r="4620" spans="6:7" x14ac:dyDescent="0.3">
      <c r="F4620" s="90"/>
      <c r="G4620" s="90"/>
    </row>
    <row r="4621" spans="6:7" x14ac:dyDescent="0.3">
      <c r="F4621" s="90"/>
      <c r="G4621" s="90"/>
    </row>
    <row r="4622" spans="6:7" x14ac:dyDescent="0.3">
      <c r="F4622" s="90"/>
      <c r="G4622" s="90"/>
    </row>
    <row r="4623" spans="6:7" x14ac:dyDescent="0.3">
      <c r="F4623" s="90"/>
      <c r="G4623" s="90"/>
    </row>
    <row r="4624" spans="6:7" x14ac:dyDescent="0.3">
      <c r="F4624" s="90"/>
      <c r="G4624" s="90"/>
    </row>
    <row r="4625" spans="6:7" x14ac:dyDescent="0.3">
      <c r="F4625" s="90"/>
      <c r="G4625" s="90"/>
    </row>
    <row r="4626" spans="6:7" x14ac:dyDescent="0.3">
      <c r="F4626" s="90"/>
      <c r="G4626" s="90"/>
    </row>
    <row r="4627" spans="6:7" x14ac:dyDescent="0.3">
      <c r="F4627" s="90"/>
      <c r="G4627" s="90"/>
    </row>
    <row r="4628" spans="6:7" x14ac:dyDescent="0.3">
      <c r="F4628" s="90"/>
      <c r="G4628" s="90"/>
    </row>
    <row r="4629" spans="6:7" x14ac:dyDescent="0.3">
      <c r="F4629" s="90"/>
      <c r="G4629" s="90"/>
    </row>
    <row r="4630" spans="6:7" x14ac:dyDescent="0.3">
      <c r="F4630" s="90"/>
      <c r="G4630" s="90"/>
    </row>
    <row r="4631" spans="6:7" x14ac:dyDescent="0.3">
      <c r="F4631" s="90"/>
      <c r="G4631" s="90"/>
    </row>
    <row r="4632" spans="6:7" x14ac:dyDescent="0.3">
      <c r="F4632" s="90"/>
      <c r="G4632" s="90"/>
    </row>
    <row r="4633" spans="6:7" x14ac:dyDescent="0.3">
      <c r="F4633" s="90"/>
      <c r="G4633" s="90"/>
    </row>
    <row r="4634" spans="6:7" x14ac:dyDescent="0.3">
      <c r="F4634" s="90"/>
      <c r="G4634" s="90"/>
    </row>
    <row r="4635" spans="6:7" x14ac:dyDescent="0.3">
      <c r="F4635" s="90"/>
      <c r="G4635" s="90"/>
    </row>
    <row r="4636" spans="6:7" x14ac:dyDescent="0.3">
      <c r="F4636" s="90"/>
      <c r="G4636" s="90"/>
    </row>
    <row r="4637" spans="6:7" x14ac:dyDescent="0.3">
      <c r="F4637" s="90"/>
      <c r="G4637" s="90"/>
    </row>
    <row r="4638" spans="6:7" x14ac:dyDescent="0.3">
      <c r="F4638" s="90"/>
      <c r="G4638" s="90"/>
    </row>
    <row r="4639" spans="6:7" x14ac:dyDescent="0.3">
      <c r="F4639" s="90"/>
      <c r="G4639" s="90"/>
    </row>
    <row r="4640" spans="6:7" x14ac:dyDescent="0.3">
      <c r="F4640" s="90"/>
      <c r="G4640" s="90"/>
    </row>
    <row r="4641" spans="6:7" x14ac:dyDescent="0.3">
      <c r="F4641" s="90"/>
      <c r="G4641" s="90"/>
    </row>
    <row r="4642" spans="6:7" x14ac:dyDescent="0.3">
      <c r="F4642" s="90"/>
      <c r="G4642" s="90"/>
    </row>
    <row r="4643" spans="6:7" x14ac:dyDescent="0.3">
      <c r="F4643" s="90"/>
      <c r="G4643" s="90"/>
    </row>
    <row r="4644" spans="6:7" x14ac:dyDescent="0.3">
      <c r="F4644" s="90"/>
      <c r="G4644" s="90"/>
    </row>
    <row r="4645" spans="6:7" x14ac:dyDescent="0.3">
      <c r="F4645" s="90"/>
      <c r="G4645" s="90"/>
    </row>
    <row r="4646" spans="6:7" x14ac:dyDescent="0.3">
      <c r="F4646" s="90"/>
      <c r="G4646" s="90"/>
    </row>
    <row r="4647" spans="6:7" x14ac:dyDescent="0.3">
      <c r="F4647" s="90"/>
      <c r="G4647" s="90"/>
    </row>
    <row r="4648" spans="6:7" x14ac:dyDescent="0.3">
      <c r="F4648" s="90"/>
      <c r="G4648" s="90"/>
    </row>
    <row r="4649" spans="6:7" x14ac:dyDescent="0.3">
      <c r="F4649" s="90"/>
      <c r="G4649" s="90"/>
    </row>
    <row r="4650" spans="6:7" x14ac:dyDescent="0.3">
      <c r="F4650" s="90"/>
      <c r="G4650" s="90"/>
    </row>
    <row r="4651" spans="6:7" x14ac:dyDescent="0.3">
      <c r="F4651" s="90"/>
      <c r="G4651" s="90"/>
    </row>
    <row r="4652" spans="6:7" x14ac:dyDescent="0.3">
      <c r="F4652" s="90"/>
      <c r="G4652" s="90"/>
    </row>
    <row r="4653" spans="6:7" x14ac:dyDescent="0.3">
      <c r="F4653" s="90"/>
      <c r="G4653" s="90"/>
    </row>
    <row r="4654" spans="6:7" x14ac:dyDescent="0.3">
      <c r="F4654" s="90"/>
      <c r="G4654" s="90"/>
    </row>
    <row r="4655" spans="6:7" x14ac:dyDescent="0.3">
      <c r="F4655" s="90"/>
      <c r="G4655" s="90"/>
    </row>
    <row r="4656" spans="6:7" x14ac:dyDescent="0.3">
      <c r="F4656" s="90"/>
      <c r="G4656" s="90"/>
    </row>
    <row r="4657" spans="6:7" x14ac:dyDescent="0.3">
      <c r="F4657" s="90"/>
      <c r="G4657" s="90"/>
    </row>
    <row r="4658" spans="6:7" x14ac:dyDescent="0.3">
      <c r="F4658" s="90"/>
      <c r="G4658" s="90"/>
    </row>
    <row r="4659" spans="6:7" x14ac:dyDescent="0.3">
      <c r="F4659" s="90"/>
      <c r="G4659" s="90"/>
    </row>
    <row r="4660" spans="6:7" x14ac:dyDescent="0.3">
      <c r="F4660" s="90"/>
      <c r="G4660" s="90"/>
    </row>
    <row r="4661" spans="6:7" x14ac:dyDescent="0.3">
      <c r="F4661" s="90"/>
      <c r="G4661" s="90"/>
    </row>
    <row r="4662" spans="6:7" x14ac:dyDescent="0.3">
      <c r="F4662" s="90"/>
      <c r="G4662" s="90"/>
    </row>
    <row r="4663" spans="6:7" x14ac:dyDescent="0.3">
      <c r="F4663" s="90"/>
      <c r="G4663" s="90"/>
    </row>
    <row r="4664" spans="6:7" x14ac:dyDescent="0.3">
      <c r="F4664" s="90"/>
      <c r="G4664" s="90"/>
    </row>
    <row r="4665" spans="6:7" x14ac:dyDescent="0.3">
      <c r="F4665" s="90"/>
      <c r="G4665" s="90"/>
    </row>
    <row r="4666" spans="6:7" x14ac:dyDescent="0.3">
      <c r="F4666" s="90"/>
      <c r="G4666" s="90"/>
    </row>
    <row r="4667" spans="6:7" x14ac:dyDescent="0.3">
      <c r="F4667" s="90"/>
      <c r="G4667" s="90"/>
    </row>
    <row r="4668" spans="6:7" x14ac:dyDescent="0.3">
      <c r="F4668" s="90"/>
      <c r="G4668" s="90"/>
    </row>
    <row r="4669" spans="6:7" x14ac:dyDescent="0.3">
      <c r="F4669" s="90"/>
      <c r="G4669" s="90"/>
    </row>
    <row r="4670" spans="6:7" x14ac:dyDescent="0.3">
      <c r="F4670" s="90"/>
      <c r="G4670" s="90"/>
    </row>
    <row r="4671" spans="6:7" x14ac:dyDescent="0.3">
      <c r="F4671" s="90"/>
      <c r="G4671" s="90"/>
    </row>
    <row r="4672" spans="6:7" x14ac:dyDescent="0.3">
      <c r="F4672" s="90"/>
      <c r="G4672" s="90"/>
    </row>
    <row r="4673" spans="6:7" x14ac:dyDescent="0.3">
      <c r="F4673" s="90"/>
      <c r="G4673" s="90"/>
    </row>
    <row r="4674" spans="6:7" x14ac:dyDescent="0.3">
      <c r="F4674" s="90"/>
      <c r="G4674" s="90"/>
    </row>
    <row r="4675" spans="6:7" x14ac:dyDescent="0.3">
      <c r="F4675" s="90"/>
      <c r="G4675" s="90"/>
    </row>
    <row r="4676" spans="6:7" x14ac:dyDescent="0.3">
      <c r="F4676" s="90"/>
      <c r="G4676" s="90"/>
    </row>
    <row r="4677" spans="6:7" x14ac:dyDescent="0.3">
      <c r="F4677" s="90"/>
      <c r="G4677" s="90"/>
    </row>
    <row r="4678" spans="6:7" x14ac:dyDescent="0.3">
      <c r="F4678" s="90"/>
      <c r="G4678" s="90"/>
    </row>
    <row r="4679" spans="6:7" x14ac:dyDescent="0.3">
      <c r="F4679" s="90"/>
      <c r="G4679" s="90"/>
    </row>
    <row r="4680" spans="6:7" x14ac:dyDescent="0.3">
      <c r="F4680" s="90"/>
      <c r="G4680" s="90"/>
    </row>
    <row r="4681" spans="6:7" x14ac:dyDescent="0.3">
      <c r="F4681" s="90"/>
      <c r="G4681" s="90"/>
    </row>
    <row r="4682" spans="6:7" x14ac:dyDescent="0.3">
      <c r="F4682" s="90"/>
      <c r="G4682" s="90"/>
    </row>
    <row r="4683" spans="6:7" x14ac:dyDescent="0.3">
      <c r="F4683" s="90"/>
      <c r="G4683" s="90"/>
    </row>
    <row r="4684" spans="6:7" x14ac:dyDescent="0.3">
      <c r="F4684" s="90"/>
      <c r="G4684" s="90"/>
    </row>
    <row r="4685" spans="6:7" x14ac:dyDescent="0.3">
      <c r="F4685" s="90"/>
      <c r="G4685" s="90"/>
    </row>
    <row r="4686" spans="6:7" x14ac:dyDescent="0.3">
      <c r="F4686" s="90"/>
      <c r="G4686" s="90"/>
    </row>
    <row r="4687" spans="6:7" x14ac:dyDescent="0.3">
      <c r="F4687" s="90"/>
      <c r="G4687" s="90"/>
    </row>
    <row r="4688" spans="6:7" x14ac:dyDescent="0.3">
      <c r="F4688" s="90"/>
      <c r="G4688" s="90"/>
    </row>
    <row r="4689" spans="6:7" x14ac:dyDescent="0.3">
      <c r="F4689" s="90"/>
      <c r="G4689" s="90"/>
    </row>
    <row r="4690" spans="6:7" x14ac:dyDescent="0.3">
      <c r="F4690" s="90"/>
      <c r="G4690" s="90"/>
    </row>
    <row r="4691" spans="6:7" x14ac:dyDescent="0.3">
      <c r="F4691" s="90"/>
      <c r="G4691" s="90"/>
    </row>
    <row r="4692" spans="6:7" x14ac:dyDescent="0.3">
      <c r="F4692" s="90"/>
      <c r="G4692" s="90"/>
    </row>
    <row r="4693" spans="6:7" x14ac:dyDescent="0.3">
      <c r="F4693" s="90"/>
      <c r="G4693" s="90"/>
    </row>
    <row r="4694" spans="6:7" x14ac:dyDescent="0.3">
      <c r="F4694" s="90"/>
      <c r="G4694" s="90"/>
    </row>
    <row r="4695" spans="6:7" x14ac:dyDescent="0.3">
      <c r="F4695" s="90"/>
      <c r="G4695" s="90"/>
    </row>
    <row r="4696" spans="6:7" x14ac:dyDescent="0.3">
      <c r="F4696" s="90"/>
      <c r="G4696" s="90"/>
    </row>
    <row r="4697" spans="6:7" x14ac:dyDescent="0.3">
      <c r="F4697" s="90"/>
      <c r="G4697" s="90"/>
    </row>
    <row r="4698" spans="6:7" x14ac:dyDescent="0.3">
      <c r="F4698" s="90"/>
      <c r="G4698" s="90"/>
    </row>
    <row r="4699" spans="6:7" x14ac:dyDescent="0.3">
      <c r="F4699" s="90"/>
      <c r="G4699" s="90"/>
    </row>
    <row r="4700" spans="6:7" x14ac:dyDescent="0.3">
      <c r="F4700" s="90"/>
      <c r="G4700" s="90"/>
    </row>
    <row r="4701" spans="6:7" x14ac:dyDescent="0.3">
      <c r="F4701" s="90"/>
      <c r="G4701" s="90"/>
    </row>
    <row r="4702" spans="6:7" x14ac:dyDescent="0.3">
      <c r="F4702" s="90"/>
      <c r="G4702" s="90"/>
    </row>
    <row r="4703" spans="6:7" x14ac:dyDescent="0.3">
      <c r="F4703" s="90"/>
      <c r="G4703" s="90"/>
    </row>
    <row r="4704" spans="6:7" x14ac:dyDescent="0.3">
      <c r="F4704" s="90"/>
      <c r="G4704" s="90"/>
    </row>
    <row r="4705" spans="6:7" x14ac:dyDescent="0.3">
      <c r="F4705" s="90"/>
      <c r="G4705" s="90"/>
    </row>
    <row r="4706" spans="6:7" x14ac:dyDescent="0.3">
      <c r="F4706" s="90"/>
      <c r="G4706" s="90"/>
    </row>
    <row r="4707" spans="6:7" x14ac:dyDescent="0.3">
      <c r="F4707" s="90"/>
      <c r="G4707" s="90"/>
    </row>
    <row r="4708" spans="6:7" x14ac:dyDescent="0.3">
      <c r="F4708" s="90"/>
      <c r="G4708" s="90"/>
    </row>
    <row r="4709" spans="6:7" x14ac:dyDescent="0.3">
      <c r="F4709" s="90"/>
      <c r="G4709" s="90"/>
    </row>
    <row r="4710" spans="6:7" x14ac:dyDescent="0.3">
      <c r="F4710" s="90"/>
      <c r="G4710" s="90"/>
    </row>
    <row r="4711" spans="6:7" x14ac:dyDescent="0.3">
      <c r="F4711" s="90"/>
      <c r="G4711" s="90"/>
    </row>
    <row r="4712" spans="6:7" x14ac:dyDescent="0.3">
      <c r="F4712" s="90"/>
      <c r="G4712" s="90"/>
    </row>
    <row r="4713" spans="6:7" x14ac:dyDescent="0.3">
      <c r="F4713" s="90"/>
      <c r="G4713" s="90"/>
    </row>
    <row r="4714" spans="6:7" x14ac:dyDescent="0.3">
      <c r="F4714" s="90"/>
      <c r="G4714" s="90"/>
    </row>
    <row r="4715" spans="6:7" x14ac:dyDescent="0.3">
      <c r="F4715" s="90"/>
      <c r="G4715" s="90"/>
    </row>
    <row r="4716" spans="6:7" x14ac:dyDescent="0.3">
      <c r="F4716" s="90"/>
      <c r="G4716" s="90"/>
    </row>
    <row r="4717" spans="6:7" x14ac:dyDescent="0.3">
      <c r="F4717" s="90"/>
      <c r="G4717" s="90"/>
    </row>
    <row r="4718" spans="6:7" x14ac:dyDescent="0.3">
      <c r="F4718" s="90"/>
      <c r="G4718" s="90"/>
    </row>
    <row r="4719" spans="6:7" x14ac:dyDescent="0.3">
      <c r="F4719" s="90"/>
      <c r="G4719" s="90"/>
    </row>
    <row r="4720" spans="6:7" x14ac:dyDescent="0.3">
      <c r="F4720" s="90"/>
      <c r="G4720" s="90"/>
    </row>
    <row r="4721" spans="6:7" x14ac:dyDescent="0.3">
      <c r="F4721" s="90"/>
      <c r="G4721" s="90"/>
    </row>
    <row r="4722" spans="6:7" x14ac:dyDescent="0.3">
      <c r="F4722" s="90"/>
      <c r="G4722" s="90"/>
    </row>
    <row r="4723" spans="6:7" x14ac:dyDescent="0.3">
      <c r="F4723" s="90"/>
      <c r="G4723" s="90"/>
    </row>
    <row r="4724" spans="6:7" x14ac:dyDescent="0.3">
      <c r="F4724" s="90"/>
      <c r="G4724" s="90"/>
    </row>
    <row r="4725" spans="6:7" x14ac:dyDescent="0.3">
      <c r="F4725" s="90"/>
      <c r="G4725" s="90"/>
    </row>
    <row r="4726" spans="6:7" x14ac:dyDescent="0.3">
      <c r="F4726" s="90"/>
      <c r="G4726" s="90"/>
    </row>
    <row r="4727" spans="6:7" x14ac:dyDescent="0.3">
      <c r="F4727" s="90"/>
      <c r="G4727" s="90"/>
    </row>
    <row r="4728" spans="6:7" x14ac:dyDescent="0.3">
      <c r="F4728" s="90"/>
      <c r="G4728" s="90"/>
    </row>
    <row r="4729" spans="6:7" x14ac:dyDescent="0.3">
      <c r="F4729" s="90"/>
      <c r="G4729" s="90"/>
    </row>
    <row r="4730" spans="6:7" x14ac:dyDescent="0.3">
      <c r="F4730" s="90"/>
      <c r="G4730" s="90"/>
    </row>
    <row r="4731" spans="6:7" x14ac:dyDescent="0.3">
      <c r="F4731" s="90"/>
      <c r="G4731" s="90"/>
    </row>
    <row r="4732" spans="6:7" x14ac:dyDescent="0.3">
      <c r="F4732" s="90"/>
      <c r="G4732" s="90"/>
    </row>
    <row r="4733" spans="6:7" x14ac:dyDescent="0.3">
      <c r="F4733" s="90"/>
      <c r="G4733" s="90"/>
    </row>
    <row r="4734" spans="6:7" x14ac:dyDescent="0.3">
      <c r="F4734" s="90"/>
      <c r="G4734" s="90"/>
    </row>
    <row r="4735" spans="6:7" x14ac:dyDescent="0.3">
      <c r="F4735" s="90"/>
      <c r="G4735" s="90"/>
    </row>
    <row r="4736" spans="6:7" x14ac:dyDescent="0.3">
      <c r="F4736" s="90"/>
      <c r="G4736" s="90"/>
    </row>
    <row r="4737" spans="6:7" x14ac:dyDescent="0.3">
      <c r="F4737" s="90"/>
      <c r="G4737" s="90"/>
    </row>
    <row r="4738" spans="6:7" x14ac:dyDescent="0.3">
      <c r="F4738" s="90"/>
      <c r="G4738" s="90"/>
    </row>
    <row r="4739" spans="6:7" x14ac:dyDescent="0.3">
      <c r="F4739" s="90"/>
      <c r="G4739" s="90"/>
    </row>
    <row r="4740" spans="6:7" x14ac:dyDescent="0.3">
      <c r="F4740" s="90"/>
      <c r="G4740" s="90"/>
    </row>
    <row r="4741" spans="6:7" x14ac:dyDescent="0.3">
      <c r="F4741" s="90"/>
      <c r="G4741" s="90"/>
    </row>
    <row r="4742" spans="6:7" x14ac:dyDescent="0.3">
      <c r="F4742" s="90"/>
      <c r="G4742" s="90"/>
    </row>
    <row r="4743" spans="6:7" x14ac:dyDescent="0.3">
      <c r="F4743" s="90"/>
      <c r="G4743" s="90"/>
    </row>
    <row r="4744" spans="6:7" x14ac:dyDescent="0.3">
      <c r="F4744" s="90"/>
      <c r="G4744" s="90"/>
    </row>
    <row r="4745" spans="6:7" x14ac:dyDescent="0.3">
      <c r="F4745" s="90"/>
      <c r="G4745" s="90"/>
    </row>
    <row r="4746" spans="6:7" x14ac:dyDescent="0.3">
      <c r="F4746" s="90"/>
      <c r="G4746" s="90"/>
    </row>
    <row r="4747" spans="6:7" x14ac:dyDescent="0.3">
      <c r="F4747" s="90"/>
      <c r="G4747" s="90"/>
    </row>
    <row r="4748" spans="6:7" x14ac:dyDescent="0.3">
      <c r="F4748" s="90"/>
      <c r="G4748" s="90"/>
    </row>
    <row r="4749" spans="6:7" x14ac:dyDescent="0.3">
      <c r="F4749" s="90"/>
      <c r="G4749" s="90"/>
    </row>
    <row r="4750" spans="6:7" x14ac:dyDescent="0.3">
      <c r="F4750" s="90"/>
      <c r="G4750" s="90"/>
    </row>
    <row r="4751" spans="6:7" x14ac:dyDescent="0.3">
      <c r="F4751" s="90"/>
      <c r="G4751" s="90"/>
    </row>
    <row r="4752" spans="6:7" x14ac:dyDescent="0.3">
      <c r="F4752" s="90"/>
      <c r="G4752" s="90"/>
    </row>
    <row r="4753" spans="6:7" x14ac:dyDescent="0.3">
      <c r="F4753" s="90"/>
      <c r="G4753" s="90"/>
    </row>
    <row r="4754" spans="6:7" x14ac:dyDescent="0.3">
      <c r="F4754" s="90"/>
      <c r="G4754" s="90"/>
    </row>
    <row r="4755" spans="6:7" x14ac:dyDescent="0.3">
      <c r="F4755" s="90"/>
      <c r="G4755" s="90"/>
    </row>
    <row r="4756" spans="6:7" x14ac:dyDescent="0.3">
      <c r="F4756" s="90"/>
      <c r="G4756" s="90"/>
    </row>
    <row r="4757" spans="6:7" x14ac:dyDescent="0.3">
      <c r="F4757" s="90"/>
      <c r="G4757" s="90"/>
    </row>
    <row r="4758" spans="6:7" x14ac:dyDescent="0.3">
      <c r="F4758" s="90"/>
      <c r="G4758" s="90"/>
    </row>
    <row r="4759" spans="6:7" x14ac:dyDescent="0.3">
      <c r="F4759" s="90"/>
      <c r="G4759" s="90"/>
    </row>
    <row r="4760" spans="6:7" x14ac:dyDescent="0.3">
      <c r="F4760" s="90"/>
      <c r="G4760" s="90"/>
    </row>
    <row r="4761" spans="6:7" x14ac:dyDescent="0.3">
      <c r="F4761" s="90"/>
      <c r="G4761" s="90"/>
    </row>
    <row r="4762" spans="6:7" x14ac:dyDescent="0.3">
      <c r="F4762" s="90"/>
      <c r="G4762" s="90"/>
    </row>
    <row r="4763" spans="6:7" x14ac:dyDescent="0.3">
      <c r="F4763" s="90"/>
      <c r="G4763" s="90"/>
    </row>
    <row r="4764" spans="6:7" x14ac:dyDescent="0.3">
      <c r="F4764" s="90"/>
      <c r="G4764" s="90"/>
    </row>
    <row r="4765" spans="6:7" x14ac:dyDescent="0.3">
      <c r="F4765" s="90"/>
      <c r="G4765" s="90"/>
    </row>
    <row r="4766" spans="6:7" x14ac:dyDescent="0.3">
      <c r="F4766" s="90"/>
      <c r="G4766" s="90"/>
    </row>
    <row r="4767" spans="6:7" x14ac:dyDescent="0.3">
      <c r="F4767" s="90"/>
      <c r="G4767" s="90"/>
    </row>
    <row r="4768" spans="6:7" x14ac:dyDescent="0.3">
      <c r="F4768" s="90"/>
      <c r="G4768" s="90"/>
    </row>
    <row r="4769" spans="6:7" x14ac:dyDescent="0.3">
      <c r="F4769" s="90"/>
      <c r="G4769" s="90"/>
    </row>
    <row r="4770" spans="6:7" x14ac:dyDescent="0.3">
      <c r="F4770" s="90"/>
      <c r="G4770" s="90"/>
    </row>
    <row r="4771" spans="6:7" x14ac:dyDescent="0.3">
      <c r="F4771" s="90"/>
      <c r="G4771" s="90"/>
    </row>
    <row r="4772" spans="6:7" x14ac:dyDescent="0.3">
      <c r="F4772" s="90"/>
      <c r="G4772" s="90"/>
    </row>
    <row r="4773" spans="6:7" x14ac:dyDescent="0.3">
      <c r="F4773" s="90"/>
      <c r="G4773" s="90"/>
    </row>
    <row r="4774" spans="6:7" x14ac:dyDescent="0.3">
      <c r="F4774" s="90"/>
      <c r="G4774" s="90"/>
    </row>
    <row r="4775" spans="6:7" x14ac:dyDescent="0.3">
      <c r="F4775" s="90"/>
      <c r="G4775" s="90"/>
    </row>
    <row r="4776" spans="6:7" x14ac:dyDescent="0.3">
      <c r="F4776" s="90"/>
      <c r="G4776" s="90"/>
    </row>
    <row r="4777" spans="6:7" x14ac:dyDescent="0.3">
      <c r="F4777" s="90"/>
      <c r="G4777" s="90"/>
    </row>
    <row r="4778" spans="6:7" x14ac:dyDescent="0.3">
      <c r="F4778" s="90"/>
      <c r="G4778" s="90"/>
    </row>
    <row r="4779" spans="6:7" x14ac:dyDescent="0.3">
      <c r="F4779" s="90"/>
      <c r="G4779" s="90"/>
    </row>
    <row r="4780" spans="6:7" x14ac:dyDescent="0.3">
      <c r="F4780" s="90"/>
      <c r="G4780" s="90"/>
    </row>
    <row r="4781" spans="6:7" x14ac:dyDescent="0.3">
      <c r="F4781" s="90"/>
      <c r="G4781" s="90"/>
    </row>
    <row r="4782" spans="6:7" x14ac:dyDescent="0.3">
      <c r="F4782" s="90"/>
      <c r="G4782" s="90"/>
    </row>
    <row r="4783" spans="6:7" x14ac:dyDescent="0.3">
      <c r="F4783" s="90"/>
      <c r="G4783" s="90"/>
    </row>
    <row r="4784" spans="6:7" x14ac:dyDescent="0.3">
      <c r="F4784" s="90"/>
      <c r="G4784" s="90"/>
    </row>
    <row r="4785" spans="6:7" x14ac:dyDescent="0.3">
      <c r="F4785" s="90"/>
      <c r="G4785" s="90"/>
    </row>
    <row r="4786" spans="6:7" x14ac:dyDescent="0.3">
      <c r="F4786" s="90"/>
      <c r="G4786" s="90"/>
    </row>
    <row r="4787" spans="6:7" x14ac:dyDescent="0.3">
      <c r="F4787" s="90"/>
      <c r="G4787" s="90"/>
    </row>
    <row r="4788" spans="6:7" x14ac:dyDescent="0.3">
      <c r="F4788" s="90"/>
      <c r="G4788" s="90"/>
    </row>
    <row r="4789" spans="6:7" x14ac:dyDescent="0.3">
      <c r="F4789" s="90"/>
      <c r="G4789" s="90"/>
    </row>
    <row r="4790" spans="6:7" x14ac:dyDescent="0.3">
      <c r="F4790" s="90"/>
      <c r="G4790" s="90"/>
    </row>
    <row r="4791" spans="6:7" x14ac:dyDescent="0.3">
      <c r="F4791" s="90"/>
      <c r="G4791" s="90"/>
    </row>
    <row r="4792" spans="6:7" x14ac:dyDescent="0.3">
      <c r="F4792" s="90"/>
      <c r="G4792" s="90"/>
    </row>
    <row r="4793" spans="6:7" x14ac:dyDescent="0.3">
      <c r="F4793" s="90"/>
      <c r="G4793" s="90"/>
    </row>
    <row r="4794" spans="6:7" x14ac:dyDescent="0.3">
      <c r="F4794" s="90"/>
      <c r="G4794" s="90"/>
    </row>
    <row r="4795" spans="6:7" x14ac:dyDescent="0.3">
      <c r="F4795" s="90"/>
      <c r="G4795" s="90"/>
    </row>
    <row r="4796" spans="6:7" x14ac:dyDescent="0.3">
      <c r="F4796" s="90"/>
      <c r="G4796" s="90"/>
    </row>
    <row r="4797" spans="6:7" x14ac:dyDescent="0.3">
      <c r="F4797" s="90"/>
      <c r="G4797" s="90"/>
    </row>
    <row r="4798" spans="6:7" x14ac:dyDescent="0.3">
      <c r="F4798" s="90"/>
      <c r="G4798" s="90"/>
    </row>
    <row r="4799" spans="6:7" x14ac:dyDescent="0.3">
      <c r="F4799" s="90"/>
      <c r="G4799" s="90"/>
    </row>
    <row r="4800" spans="6:7" x14ac:dyDescent="0.3">
      <c r="F4800" s="90"/>
      <c r="G4800" s="90"/>
    </row>
    <row r="4801" spans="6:7" x14ac:dyDescent="0.3">
      <c r="F4801" s="90"/>
      <c r="G4801" s="90"/>
    </row>
    <row r="4802" spans="6:7" x14ac:dyDescent="0.3">
      <c r="F4802" s="90"/>
      <c r="G4802" s="90"/>
    </row>
    <row r="4803" spans="6:7" x14ac:dyDescent="0.3">
      <c r="F4803" s="90"/>
      <c r="G4803" s="90"/>
    </row>
    <row r="4804" spans="6:7" x14ac:dyDescent="0.3">
      <c r="F4804" s="90"/>
      <c r="G4804" s="90"/>
    </row>
    <row r="4805" spans="6:7" x14ac:dyDescent="0.3">
      <c r="F4805" s="90"/>
      <c r="G4805" s="90"/>
    </row>
    <row r="4806" spans="6:7" x14ac:dyDescent="0.3">
      <c r="F4806" s="90"/>
      <c r="G4806" s="90"/>
    </row>
    <row r="4807" spans="6:7" x14ac:dyDescent="0.3">
      <c r="F4807" s="90"/>
      <c r="G4807" s="90"/>
    </row>
    <row r="4808" spans="6:7" x14ac:dyDescent="0.3">
      <c r="F4808" s="90"/>
      <c r="G4808" s="90"/>
    </row>
    <row r="4809" spans="6:7" x14ac:dyDescent="0.3">
      <c r="F4809" s="90"/>
      <c r="G4809" s="90"/>
    </row>
    <row r="4810" spans="6:7" x14ac:dyDescent="0.3">
      <c r="F4810" s="90"/>
      <c r="G4810" s="90"/>
    </row>
    <row r="4811" spans="6:7" x14ac:dyDescent="0.3">
      <c r="F4811" s="90"/>
      <c r="G4811" s="90"/>
    </row>
    <row r="4812" spans="6:7" x14ac:dyDescent="0.3">
      <c r="F4812" s="90"/>
      <c r="G4812" s="90"/>
    </row>
    <row r="4813" spans="6:7" x14ac:dyDescent="0.3">
      <c r="F4813" s="90"/>
      <c r="G4813" s="90"/>
    </row>
    <row r="4814" spans="6:7" x14ac:dyDescent="0.3">
      <c r="F4814" s="90"/>
      <c r="G4814" s="90"/>
    </row>
    <row r="4815" spans="6:7" x14ac:dyDescent="0.3">
      <c r="F4815" s="90"/>
      <c r="G4815" s="90"/>
    </row>
    <row r="4816" spans="6:7" x14ac:dyDescent="0.3">
      <c r="F4816" s="90"/>
      <c r="G4816" s="90"/>
    </row>
    <row r="4817" spans="6:7" x14ac:dyDescent="0.3">
      <c r="F4817" s="90"/>
      <c r="G4817" s="90"/>
    </row>
    <row r="4818" spans="6:7" x14ac:dyDescent="0.3">
      <c r="F4818" s="90"/>
      <c r="G4818" s="90"/>
    </row>
    <row r="4819" spans="6:7" x14ac:dyDescent="0.3">
      <c r="F4819" s="90"/>
      <c r="G4819" s="90"/>
    </row>
    <row r="4820" spans="6:7" x14ac:dyDescent="0.3">
      <c r="F4820" s="90"/>
      <c r="G4820" s="90"/>
    </row>
    <row r="4821" spans="6:7" x14ac:dyDescent="0.3">
      <c r="F4821" s="90"/>
      <c r="G4821" s="90"/>
    </row>
    <row r="4822" spans="6:7" x14ac:dyDescent="0.3">
      <c r="F4822" s="90"/>
      <c r="G4822" s="90"/>
    </row>
    <row r="4823" spans="6:7" x14ac:dyDescent="0.3">
      <c r="F4823" s="90"/>
      <c r="G4823" s="90"/>
    </row>
    <row r="4824" spans="6:7" x14ac:dyDescent="0.3">
      <c r="F4824" s="90"/>
      <c r="G4824" s="90"/>
    </row>
    <row r="4825" spans="6:7" x14ac:dyDescent="0.3">
      <c r="F4825" s="90"/>
      <c r="G4825" s="90"/>
    </row>
    <row r="4826" spans="6:7" x14ac:dyDescent="0.3">
      <c r="F4826" s="90"/>
      <c r="G4826" s="90"/>
    </row>
    <row r="4827" spans="6:7" x14ac:dyDescent="0.3">
      <c r="F4827" s="90"/>
      <c r="G4827" s="90"/>
    </row>
    <row r="4828" spans="6:7" x14ac:dyDescent="0.3">
      <c r="F4828" s="90"/>
      <c r="G4828" s="90"/>
    </row>
    <row r="4829" spans="6:7" x14ac:dyDescent="0.3">
      <c r="F4829" s="90"/>
      <c r="G4829" s="90"/>
    </row>
    <row r="4830" spans="6:7" x14ac:dyDescent="0.3">
      <c r="F4830" s="90"/>
      <c r="G4830" s="90"/>
    </row>
    <row r="4831" spans="6:7" x14ac:dyDescent="0.3">
      <c r="F4831" s="90"/>
      <c r="G4831" s="90"/>
    </row>
    <row r="4832" spans="6:7" x14ac:dyDescent="0.3">
      <c r="F4832" s="90"/>
      <c r="G4832" s="90"/>
    </row>
    <row r="4833" spans="6:7" x14ac:dyDescent="0.3">
      <c r="F4833" s="90"/>
      <c r="G4833" s="90"/>
    </row>
    <row r="4834" spans="6:7" x14ac:dyDescent="0.3">
      <c r="F4834" s="90"/>
      <c r="G4834" s="90"/>
    </row>
    <row r="4835" spans="6:7" x14ac:dyDescent="0.3">
      <c r="F4835" s="90"/>
      <c r="G4835" s="90"/>
    </row>
    <row r="4836" spans="6:7" x14ac:dyDescent="0.3">
      <c r="F4836" s="90"/>
      <c r="G4836" s="90"/>
    </row>
    <row r="4837" spans="6:7" x14ac:dyDescent="0.3">
      <c r="F4837" s="90"/>
      <c r="G4837" s="90"/>
    </row>
    <row r="4838" spans="6:7" x14ac:dyDescent="0.3">
      <c r="F4838" s="90"/>
      <c r="G4838" s="90"/>
    </row>
    <row r="4839" spans="6:7" x14ac:dyDescent="0.3">
      <c r="F4839" s="90"/>
      <c r="G4839" s="90"/>
    </row>
    <row r="4840" spans="6:7" x14ac:dyDescent="0.3">
      <c r="F4840" s="90"/>
      <c r="G4840" s="90"/>
    </row>
    <row r="4841" spans="6:7" x14ac:dyDescent="0.3">
      <c r="F4841" s="90"/>
      <c r="G4841" s="90"/>
    </row>
    <row r="4842" spans="6:7" x14ac:dyDescent="0.3">
      <c r="F4842" s="90"/>
      <c r="G4842" s="90"/>
    </row>
    <row r="4843" spans="6:7" x14ac:dyDescent="0.3">
      <c r="F4843" s="90"/>
      <c r="G4843" s="90"/>
    </row>
    <row r="4844" spans="6:7" x14ac:dyDescent="0.3">
      <c r="F4844" s="90"/>
      <c r="G4844" s="90"/>
    </row>
    <row r="4845" spans="6:7" x14ac:dyDescent="0.3">
      <c r="F4845" s="90"/>
      <c r="G4845" s="90"/>
    </row>
    <row r="4846" spans="6:7" x14ac:dyDescent="0.3">
      <c r="F4846" s="90"/>
      <c r="G4846" s="90"/>
    </row>
    <row r="4847" spans="6:7" x14ac:dyDescent="0.3">
      <c r="F4847" s="90"/>
      <c r="G4847" s="90"/>
    </row>
    <row r="4848" spans="6:7" x14ac:dyDescent="0.3">
      <c r="F4848" s="90"/>
      <c r="G4848" s="90"/>
    </row>
    <row r="4849" spans="6:7" x14ac:dyDescent="0.3">
      <c r="F4849" s="90"/>
      <c r="G4849" s="90"/>
    </row>
    <row r="4850" spans="6:7" x14ac:dyDescent="0.3">
      <c r="F4850" s="90"/>
      <c r="G4850" s="90"/>
    </row>
    <row r="4851" spans="6:7" x14ac:dyDescent="0.3">
      <c r="F4851" s="90"/>
      <c r="G4851" s="90"/>
    </row>
    <row r="4852" spans="6:7" x14ac:dyDescent="0.3">
      <c r="F4852" s="90"/>
      <c r="G4852" s="90"/>
    </row>
    <row r="4853" spans="6:7" x14ac:dyDescent="0.3">
      <c r="F4853" s="90"/>
      <c r="G4853" s="90"/>
    </row>
    <row r="4854" spans="6:7" x14ac:dyDescent="0.3">
      <c r="F4854" s="90"/>
      <c r="G4854" s="90"/>
    </row>
    <row r="4855" spans="6:7" x14ac:dyDescent="0.3">
      <c r="F4855" s="90"/>
      <c r="G4855" s="90"/>
    </row>
    <row r="4856" spans="6:7" x14ac:dyDescent="0.3">
      <c r="F4856" s="90"/>
      <c r="G4856" s="90"/>
    </row>
    <row r="4857" spans="6:7" x14ac:dyDescent="0.3">
      <c r="F4857" s="90"/>
      <c r="G4857" s="90"/>
    </row>
    <row r="4858" spans="6:7" x14ac:dyDescent="0.3">
      <c r="F4858" s="90"/>
      <c r="G4858" s="90"/>
    </row>
    <row r="4859" spans="6:7" x14ac:dyDescent="0.3">
      <c r="F4859" s="90"/>
      <c r="G4859" s="90"/>
    </row>
    <row r="4860" spans="6:7" x14ac:dyDescent="0.3">
      <c r="F4860" s="90"/>
      <c r="G4860" s="90"/>
    </row>
    <row r="4861" spans="6:7" x14ac:dyDescent="0.3">
      <c r="F4861" s="90"/>
      <c r="G4861" s="90"/>
    </row>
    <row r="4862" spans="6:7" x14ac:dyDescent="0.3">
      <c r="F4862" s="90"/>
      <c r="G4862" s="90"/>
    </row>
    <row r="4863" spans="6:7" x14ac:dyDescent="0.3">
      <c r="F4863" s="90"/>
      <c r="G4863" s="90"/>
    </row>
    <row r="4864" spans="6:7" x14ac:dyDescent="0.3">
      <c r="F4864" s="90"/>
      <c r="G4864" s="90"/>
    </row>
    <row r="4865" spans="6:7" x14ac:dyDescent="0.3">
      <c r="F4865" s="90"/>
      <c r="G4865" s="90"/>
    </row>
    <row r="4866" spans="6:7" x14ac:dyDescent="0.3">
      <c r="F4866" s="90"/>
      <c r="G4866" s="90"/>
    </row>
    <row r="4867" spans="6:7" x14ac:dyDescent="0.3">
      <c r="F4867" s="90"/>
      <c r="G4867" s="90"/>
    </row>
    <row r="4868" spans="6:7" x14ac:dyDescent="0.3">
      <c r="F4868" s="90"/>
      <c r="G4868" s="90"/>
    </row>
    <row r="4869" spans="6:7" x14ac:dyDescent="0.3">
      <c r="F4869" s="90"/>
      <c r="G4869" s="90"/>
    </row>
    <row r="4870" spans="6:7" x14ac:dyDescent="0.3">
      <c r="F4870" s="90"/>
      <c r="G4870" s="90"/>
    </row>
    <row r="4871" spans="6:7" x14ac:dyDescent="0.3">
      <c r="F4871" s="90"/>
      <c r="G4871" s="90"/>
    </row>
    <row r="4872" spans="6:7" x14ac:dyDescent="0.3">
      <c r="F4872" s="90"/>
      <c r="G4872" s="90"/>
    </row>
    <row r="4873" spans="6:7" x14ac:dyDescent="0.3">
      <c r="F4873" s="90"/>
      <c r="G4873" s="90"/>
    </row>
    <row r="4874" spans="6:7" x14ac:dyDescent="0.3">
      <c r="F4874" s="90"/>
      <c r="G4874" s="90"/>
    </row>
    <row r="4875" spans="6:7" x14ac:dyDescent="0.3">
      <c r="F4875" s="90"/>
      <c r="G4875" s="90"/>
    </row>
    <row r="4876" spans="6:7" x14ac:dyDescent="0.3">
      <c r="F4876" s="90"/>
      <c r="G4876" s="90"/>
    </row>
    <row r="4877" spans="6:7" x14ac:dyDescent="0.3">
      <c r="F4877" s="90"/>
      <c r="G4877" s="90"/>
    </row>
    <row r="4878" spans="6:7" x14ac:dyDescent="0.3">
      <c r="F4878" s="90"/>
      <c r="G4878" s="90"/>
    </row>
    <row r="4879" spans="6:7" x14ac:dyDescent="0.3">
      <c r="F4879" s="90"/>
      <c r="G4879" s="90"/>
    </row>
    <row r="4880" spans="6:7" x14ac:dyDescent="0.3">
      <c r="F4880" s="90"/>
      <c r="G4880" s="90"/>
    </row>
    <row r="4881" spans="6:7" x14ac:dyDescent="0.3">
      <c r="F4881" s="90"/>
      <c r="G4881" s="90"/>
    </row>
    <row r="4882" spans="6:7" x14ac:dyDescent="0.3">
      <c r="F4882" s="90"/>
      <c r="G4882" s="90"/>
    </row>
    <row r="4883" spans="6:7" x14ac:dyDescent="0.3">
      <c r="F4883" s="90"/>
      <c r="G4883" s="90"/>
    </row>
    <row r="4884" spans="6:7" x14ac:dyDescent="0.3">
      <c r="F4884" s="90"/>
      <c r="G4884" s="90"/>
    </row>
    <row r="4885" spans="6:7" x14ac:dyDescent="0.3">
      <c r="F4885" s="90"/>
      <c r="G4885" s="90"/>
    </row>
    <row r="4886" spans="6:7" x14ac:dyDescent="0.3">
      <c r="F4886" s="90"/>
      <c r="G4886" s="90"/>
    </row>
    <row r="4887" spans="6:7" x14ac:dyDescent="0.3">
      <c r="F4887" s="90"/>
      <c r="G4887" s="90"/>
    </row>
    <row r="4888" spans="6:7" x14ac:dyDescent="0.3">
      <c r="F4888" s="90"/>
      <c r="G4888" s="90"/>
    </row>
    <row r="4889" spans="6:7" x14ac:dyDescent="0.3">
      <c r="F4889" s="90"/>
      <c r="G4889" s="90"/>
    </row>
    <row r="4890" spans="6:7" x14ac:dyDescent="0.3">
      <c r="F4890" s="90"/>
      <c r="G4890" s="90"/>
    </row>
    <row r="4891" spans="6:7" x14ac:dyDescent="0.3">
      <c r="F4891" s="90"/>
      <c r="G4891" s="90"/>
    </row>
    <row r="4892" spans="6:7" x14ac:dyDescent="0.3">
      <c r="F4892" s="90"/>
      <c r="G4892" s="90"/>
    </row>
    <row r="4893" spans="6:7" x14ac:dyDescent="0.3">
      <c r="F4893" s="90"/>
      <c r="G4893" s="90"/>
    </row>
    <row r="4894" spans="6:7" x14ac:dyDescent="0.3">
      <c r="F4894" s="90"/>
      <c r="G4894" s="90"/>
    </row>
    <row r="4895" spans="6:7" x14ac:dyDescent="0.3">
      <c r="F4895" s="90"/>
      <c r="G4895" s="90"/>
    </row>
    <row r="4896" spans="6:7" x14ac:dyDescent="0.3">
      <c r="F4896" s="90"/>
      <c r="G4896" s="90"/>
    </row>
    <row r="4897" spans="6:7" x14ac:dyDescent="0.3">
      <c r="F4897" s="90"/>
      <c r="G4897" s="90"/>
    </row>
    <row r="4898" spans="6:7" x14ac:dyDescent="0.3">
      <c r="F4898" s="90"/>
      <c r="G4898" s="90"/>
    </row>
    <row r="4899" spans="6:7" x14ac:dyDescent="0.3">
      <c r="F4899" s="90"/>
      <c r="G4899" s="90"/>
    </row>
    <row r="4900" spans="6:7" x14ac:dyDescent="0.3">
      <c r="F4900" s="90"/>
      <c r="G4900" s="90"/>
    </row>
    <row r="4901" spans="6:7" x14ac:dyDescent="0.3">
      <c r="F4901" s="90"/>
      <c r="G4901" s="90"/>
    </row>
    <row r="4902" spans="6:7" x14ac:dyDescent="0.3">
      <c r="F4902" s="90"/>
      <c r="G4902" s="90"/>
    </row>
    <row r="4903" spans="6:7" x14ac:dyDescent="0.3">
      <c r="F4903" s="90"/>
      <c r="G4903" s="90"/>
    </row>
    <row r="4904" spans="6:7" x14ac:dyDescent="0.3">
      <c r="F4904" s="90"/>
      <c r="G4904" s="90"/>
    </row>
    <row r="4905" spans="6:7" x14ac:dyDescent="0.3">
      <c r="F4905" s="90"/>
      <c r="G4905" s="90"/>
    </row>
    <row r="4906" spans="6:7" x14ac:dyDescent="0.3">
      <c r="F4906" s="90"/>
      <c r="G4906" s="90"/>
    </row>
    <row r="4907" spans="6:7" x14ac:dyDescent="0.3">
      <c r="F4907" s="90"/>
      <c r="G4907" s="90"/>
    </row>
    <row r="4908" spans="6:7" x14ac:dyDescent="0.3">
      <c r="F4908" s="90"/>
      <c r="G4908" s="90"/>
    </row>
    <row r="4909" spans="6:7" x14ac:dyDescent="0.3">
      <c r="F4909" s="90"/>
      <c r="G4909" s="90"/>
    </row>
    <row r="4910" spans="6:7" x14ac:dyDescent="0.3">
      <c r="F4910" s="90"/>
      <c r="G4910" s="90"/>
    </row>
    <row r="4911" spans="6:7" x14ac:dyDescent="0.3">
      <c r="F4911" s="90"/>
      <c r="G4911" s="90"/>
    </row>
    <row r="4912" spans="6:7" x14ac:dyDescent="0.3">
      <c r="F4912" s="90"/>
      <c r="G4912" s="90"/>
    </row>
    <row r="4913" spans="6:7" x14ac:dyDescent="0.3">
      <c r="F4913" s="90"/>
      <c r="G4913" s="90"/>
    </row>
    <row r="4914" spans="6:7" x14ac:dyDescent="0.3">
      <c r="F4914" s="90"/>
      <c r="G4914" s="90"/>
    </row>
    <row r="4915" spans="6:7" x14ac:dyDescent="0.3">
      <c r="F4915" s="90"/>
      <c r="G4915" s="90"/>
    </row>
    <row r="4916" spans="6:7" x14ac:dyDescent="0.3">
      <c r="F4916" s="90"/>
      <c r="G4916" s="90"/>
    </row>
    <row r="4917" spans="6:7" x14ac:dyDescent="0.3">
      <c r="F4917" s="90"/>
      <c r="G4917" s="90"/>
    </row>
    <row r="4918" spans="6:7" x14ac:dyDescent="0.3">
      <c r="F4918" s="90"/>
      <c r="G4918" s="90"/>
    </row>
    <row r="4919" spans="6:7" x14ac:dyDescent="0.3">
      <c r="F4919" s="90"/>
      <c r="G4919" s="90"/>
    </row>
    <row r="4920" spans="6:7" x14ac:dyDescent="0.3">
      <c r="F4920" s="90"/>
      <c r="G4920" s="90"/>
    </row>
    <row r="4921" spans="6:7" x14ac:dyDescent="0.3">
      <c r="F4921" s="90"/>
      <c r="G4921" s="90"/>
    </row>
    <row r="4922" spans="6:7" x14ac:dyDescent="0.3">
      <c r="F4922" s="90"/>
      <c r="G4922" s="90"/>
    </row>
    <row r="4923" spans="6:7" x14ac:dyDescent="0.3">
      <c r="F4923" s="90"/>
      <c r="G4923" s="90"/>
    </row>
    <row r="4924" spans="6:7" x14ac:dyDescent="0.3">
      <c r="F4924" s="90"/>
      <c r="G4924" s="90"/>
    </row>
    <row r="4925" spans="6:7" x14ac:dyDescent="0.3">
      <c r="F4925" s="90"/>
      <c r="G4925" s="90"/>
    </row>
    <row r="4926" spans="6:7" x14ac:dyDescent="0.3">
      <c r="F4926" s="90"/>
      <c r="G4926" s="90"/>
    </row>
    <row r="4927" spans="6:7" x14ac:dyDescent="0.3">
      <c r="F4927" s="90"/>
      <c r="G4927" s="90"/>
    </row>
    <row r="4928" spans="6:7" x14ac:dyDescent="0.3">
      <c r="F4928" s="90"/>
      <c r="G4928" s="90"/>
    </row>
    <row r="4929" spans="6:7" x14ac:dyDescent="0.3">
      <c r="F4929" s="90"/>
      <c r="G4929" s="90"/>
    </row>
    <row r="4930" spans="6:7" x14ac:dyDescent="0.3">
      <c r="F4930" s="90"/>
      <c r="G4930" s="90"/>
    </row>
    <row r="4931" spans="6:7" x14ac:dyDescent="0.3">
      <c r="F4931" s="90"/>
      <c r="G4931" s="90"/>
    </row>
    <row r="4932" spans="6:7" x14ac:dyDescent="0.3">
      <c r="F4932" s="90"/>
      <c r="G4932" s="90"/>
    </row>
    <row r="4933" spans="6:7" x14ac:dyDescent="0.3">
      <c r="F4933" s="90"/>
      <c r="G4933" s="90"/>
    </row>
    <row r="4934" spans="6:7" x14ac:dyDescent="0.3">
      <c r="F4934" s="90"/>
      <c r="G4934" s="90"/>
    </row>
    <row r="4935" spans="6:7" x14ac:dyDescent="0.3">
      <c r="F4935" s="90"/>
      <c r="G4935" s="90"/>
    </row>
    <row r="4936" spans="6:7" x14ac:dyDescent="0.3">
      <c r="F4936" s="90"/>
      <c r="G4936" s="90"/>
    </row>
    <row r="4937" spans="6:7" x14ac:dyDescent="0.3">
      <c r="F4937" s="90"/>
      <c r="G4937" s="90"/>
    </row>
    <row r="4938" spans="6:7" x14ac:dyDescent="0.3">
      <c r="F4938" s="90"/>
      <c r="G4938" s="90"/>
    </row>
    <row r="4939" spans="6:7" x14ac:dyDescent="0.3">
      <c r="F4939" s="90"/>
      <c r="G4939" s="90"/>
    </row>
    <row r="4940" spans="6:7" x14ac:dyDescent="0.3">
      <c r="F4940" s="90"/>
      <c r="G4940" s="90"/>
    </row>
    <row r="4941" spans="6:7" x14ac:dyDescent="0.3">
      <c r="F4941" s="90"/>
      <c r="G4941" s="90"/>
    </row>
    <row r="4942" spans="6:7" x14ac:dyDescent="0.3">
      <c r="F4942" s="90"/>
      <c r="G4942" s="90"/>
    </row>
    <row r="4943" spans="6:7" x14ac:dyDescent="0.3">
      <c r="F4943" s="90"/>
      <c r="G4943" s="90"/>
    </row>
    <row r="4944" spans="6:7" x14ac:dyDescent="0.3">
      <c r="F4944" s="90"/>
      <c r="G4944" s="90"/>
    </row>
    <row r="4945" spans="6:7" x14ac:dyDescent="0.3">
      <c r="F4945" s="90"/>
      <c r="G4945" s="90"/>
    </row>
    <row r="4946" spans="6:7" x14ac:dyDescent="0.3">
      <c r="F4946" s="90"/>
      <c r="G4946" s="90"/>
    </row>
    <row r="4947" spans="6:7" x14ac:dyDescent="0.3">
      <c r="F4947" s="90"/>
      <c r="G4947" s="90"/>
    </row>
    <row r="4948" spans="6:7" x14ac:dyDescent="0.3">
      <c r="F4948" s="90"/>
      <c r="G4948" s="90"/>
    </row>
    <row r="4949" spans="6:7" x14ac:dyDescent="0.3">
      <c r="F4949" s="90"/>
      <c r="G4949" s="90"/>
    </row>
    <row r="4950" spans="6:7" x14ac:dyDescent="0.3">
      <c r="F4950" s="90"/>
      <c r="G4950" s="90"/>
    </row>
    <row r="4951" spans="6:7" x14ac:dyDescent="0.3">
      <c r="F4951" s="90"/>
      <c r="G4951" s="90"/>
    </row>
    <row r="4952" spans="6:7" x14ac:dyDescent="0.3">
      <c r="F4952" s="90"/>
      <c r="G4952" s="90"/>
    </row>
    <row r="4953" spans="6:7" x14ac:dyDescent="0.3">
      <c r="F4953" s="90"/>
      <c r="G4953" s="90"/>
    </row>
    <row r="4954" spans="6:7" x14ac:dyDescent="0.3">
      <c r="F4954" s="90"/>
      <c r="G4954" s="90"/>
    </row>
    <row r="4955" spans="6:7" x14ac:dyDescent="0.3">
      <c r="F4955" s="90"/>
      <c r="G4955" s="90"/>
    </row>
    <row r="4956" spans="6:7" x14ac:dyDescent="0.3">
      <c r="F4956" s="90"/>
      <c r="G4956" s="90"/>
    </row>
    <row r="4957" spans="6:7" x14ac:dyDescent="0.3">
      <c r="F4957" s="90"/>
      <c r="G4957" s="90"/>
    </row>
    <row r="4958" spans="6:7" x14ac:dyDescent="0.3">
      <c r="F4958" s="90"/>
      <c r="G4958" s="90"/>
    </row>
    <row r="4959" spans="6:7" x14ac:dyDescent="0.3">
      <c r="F4959" s="90"/>
      <c r="G4959" s="90"/>
    </row>
    <row r="4960" spans="6:7" x14ac:dyDescent="0.3">
      <c r="F4960" s="90"/>
      <c r="G4960" s="90"/>
    </row>
    <row r="4961" spans="6:7" x14ac:dyDescent="0.3">
      <c r="F4961" s="90"/>
      <c r="G4961" s="90"/>
    </row>
    <row r="4962" spans="6:7" x14ac:dyDescent="0.3">
      <c r="F4962" s="90"/>
      <c r="G4962" s="90"/>
    </row>
    <row r="4963" spans="6:7" x14ac:dyDescent="0.3">
      <c r="F4963" s="90"/>
      <c r="G4963" s="90"/>
    </row>
    <row r="4964" spans="6:7" x14ac:dyDescent="0.3">
      <c r="F4964" s="90"/>
      <c r="G4964" s="90"/>
    </row>
    <row r="4965" spans="6:7" x14ac:dyDescent="0.3">
      <c r="F4965" s="90"/>
      <c r="G4965" s="90"/>
    </row>
    <row r="4966" spans="6:7" x14ac:dyDescent="0.3">
      <c r="F4966" s="90"/>
      <c r="G4966" s="90"/>
    </row>
    <row r="4967" spans="6:7" x14ac:dyDescent="0.3">
      <c r="F4967" s="90"/>
      <c r="G4967" s="90"/>
    </row>
    <row r="4968" spans="6:7" x14ac:dyDescent="0.3">
      <c r="F4968" s="90"/>
      <c r="G4968" s="90"/>
    </row>
    <row r="4969" spans="6:7" x14ac:dyDescent="0.3">
      <c r="F4969" s="90"/>
      <c r="G4969" s="90"/>
    </row>
    <row r="4970" spans="6:7" x14ac:dyDescent="0.3">
      <c r="F4970" s="90"/>
      <c r="G4970" s="90"/>
    </row>
    <row r="4971" spans="6:7" x14ac:dyDescent="0.3">
      <c r="F4971" s="90"/>
      <c r="G4971" s="90"/>
    </row>
    <row r="4972" spans="6:7" x14ac:dyDescent="0.3">
      <c r="F4972" s="90"/>
      <c r="G4972" s="90"/>
    </row>
    <row r="4973" spans="6:7" x14ac:dyDescent="0.3">
      <c r="F4973" s="90"/>
      <c r="G4973" s="90"/>
    </row>
    <row r="4974" spans="6:7" x14ac:dyDescent="0.3">
      <c r="F4974" s="90"/>
      <c r="G4974" s="90"/>
    </row>
    <row r="4975" spans="6:7" x14ac:dyDescent="0.3">
      <c r="F4975" s="90"/>
      <c r="G4975" s="90"/>
    </row>
    <row r="4976" spans="6:7" x14ac:dyDescent="0.3">
      <c r="F4976" s="90"/>
      <c r="G4976" s="90"/>
    </row>
    <row r="4977" spans="6:7" x14ac:dyDescent="0.3">
      <c r="F4977" s="90"/>
      <c r="G4977" s="90"/>
    </row>
    <row r="4978" spans="6:7" x14ac:dyDescent="0.3">
      <c r="F4978" s="90"/>
      <c r="G4978" s="90"/>
    </row>
    <row r="4979" spans="6:7" x14ac:dyDescent="0.3">
      <c r="F4979" s="90"/>
      <c r="G4979" s="90"/>
    </row>
    <row r="4980" spans="6:7" x14ac:dyDescent="0.3">
      <c r="F4980" s="90"/>
      <c r="G4980" s="90"/>
    </row>
    <row r="4981" spans="6:7" x14ac:dyDescent="0.3">
      <c r="F4981" s="90"/>
      <c r="G4981" s="90"/>
    </row>
    <row r="4982" spans="6:7" x14ac:dyDescent="0.3">
      <c r="F4982" s="90"/>
      <c r="G4982" s="90"/>
    </row>
    <row r="4983" spans="6:7" x14ac:dyDescent="0.3">
      <c r="F4983" s="90"/>
      <c r="G4983" s="90"/>
    </row>
    <row r="4984" spans="6:7" x14ac:dyDescent="0.3">
      <c r="F4984" s="90"/>
      <c r="G4984" s="90"/>
    </row>
    <row r="4985" spans="6:7" x14ac:dyDescent="0.3">
      <c r="F4985" s="90"/>
      <c r="G4985" s="90"/>
    </row>
    <row r="4986" spans="6:7" x14ac:dyDescent="0.3">
      <c r="F4986" s="90"/>
      <c r="G4986" s="90"/>
    </row>
    <row r="4987" spans="6:7" x14ac:dyDescent="0.3">
      <c r="F4987" s="90"/>
      <c r="G4987" s="90"/>
    </row>
    <row r="4988" spans="6:7" x14ac:dyDescent="0.3">
      <c r="F4988" s="90"/>
      <c r="G4988" s="90"/>
    </row>
    <row r="4989" spans="6:7" x14ac:dyDescent="0.3">
      <c r="F4989" s="90"/>
      <c r="G4989" s="90"/>
    </row>
    <row r="4990" spans="6:7" x14ac:dyDescent="0.3">
      <c r="F4990" s="90"/>
      <c r="G4990" s="90"/>
    </row>
    <row r="4991" spans="6:7" x14ac:dyDescent="0.3">
      <c r="F4991" s="90"/>
      <c r="G4991" s="90"/>
    </row>
    <row r="4992" spans="6:7" x14ac:dyDescent="0.3">
      <c r="F4992" s="90"/>
      <c r="G4992" s="90"/>
    </row>
    <row r="4993" spans="6:7" x14ac:dyDescent="0.3">
      <c r="F4993" s="90"/>
      <c r="G4993" s="90"/>
    </row>
    <row r="4994" spans="6:7" x14ac:dyDescent="0.3">
      <c r="F4994" s="90"/>
      <c r="G4994" s="90"/>
    </row>
    <row r="4995" spans="6:7" x14ac:dyDescent="0.3">
      <c r="F4995" s="90"/>
      <c r="G4995" s="90"/>
    </row>
    <row r="4996" spans="6:7" x14ac:dyDescent="0.3">
      <c r="F4996" s="90"/>
      <c r="G4996" s="90"/>
    </row>
    <row r="4997" spans="6:7" x14ac:dyDescent="0.3">
      <c r="F4997" s="90"/>
      <c r="G4997" s="90"/>
    </row>
    <row r="4998" spans="6:7" x14ac:dyDescent="0.3">
      <c r="F4998" s="90"/>
      <c r="G4998" s="90"/>
    </row>
    <row r="4999" spans="6:7" x14ac:dyDescent="0.3">
      <c r="F4999" s="90"/>
      <c r="G4999" s="90"/>
    </row>
    <row r="5000" spans="6:7" x14ac:dyDescent="0.3">
      <c r="F5000" s="90"/>
      <c r="G5000" s="90"/>
    </row>
    <row r="5001" spans="6:7" x14ac:dyDescent="0.3">
      <c r="F5001" s="90"/>
      <c r="G5001" s="90"/>
    </row>
    <row r="5002" spans="6:7" x14ac:dyDescent="0.3">
      <c r="F5002" s="90"/>
      <c r="G5002" s="90"/>
    </row>
    <row r="5003" spans="6:7" x14ac:dyDescent="0.3">
      <c r="F5003" s="90"/>
      <c r="G5003" s="90"/>
    </row>
    <row r="5004" spans="6:7" x14ac:dyDescent="0.3">
      <c r="F5004" s="90"/>
      <c r="G5004" s="90"/>
    </row>
    <row r="5005" spans="6:7" x14ac:dyDescent="0.3">
      <c r="F5005" s="90"/>
      <c r="G5005" s="90"/>
    </row>
    <row r="5006" spans="6:7" x14ac:dyDescent="0.3">
      <c r="F5006" s="90"/>
      <c r="G5006" s="90"/>
    </row>
    <row r="5007" spans="6:7" x14ac:dyDescent="0.3">
      <c r="F5007" s="90"/>
      <c r="G5007" s="90"/>
    </row>
    <row r="5008" spans="6:7" x14ac:dyDescent="0.3">
      <c r="F5008" s="90"/>
      <c r="G5008" s="90"/>
    </row>
    <row r="5009" spans="6:7" x14ac:dyDescent="0.3">
      <c r="F5009" s="90"/>
      <c r="G5009" s="90"/>
    </row>
    <row r="5010" spans="6:7" x14ac:dyDescent="0.3">
      <c r="F5010" s="90"/>
      <c r="G5010" s="90"/>
    </row>
    <row r="5011" spans="6:7" x14ac:dyDescent="0.3">
      <c r="F5011" s="90"/>
      <c r="G5011" s="90"/>
    </row>
    <row r="5012" spans="6:7" x14ac:dyDescent="0.3">
      <c r="F5012" s="90"/>
      <c r="G5012" s="90"/>
    </row>
    <row r="5013" spans="6:7" x14ac:dyDescent="0.3">
      <c r="F5013" s="90"/>
      <c r="G5013" s="90"/>
    </row>
    <row r="5014" spans="6:7" x14ac:dyDescent="0.3">
      <c r="F5014" s="90"/>
      <c r="G5014" s="90"/>
    </row>
    <row r="5015" spans="6:7" x14ac:dyDescent="0.3">
      <c r="F5015" s="90"/>
      <c r="G5015" s="90"/>
    </row>
    <row r="5016" spans="6:7" x14ac:dyDescent="0.3">
      <c r="F5016" s="90"/>
      <c r="G5016" s="90"/>
    </row>
    <row r="5017" spans="6:7" x14ac:dyDescent="0.3">
      <c r="F5017" s="90"/>
      <c r="G5017" s="90"/>
    </row>
    <row r="5018" spans="6:7" x14ac:dyDescent="0.3">
      <c r="F5018" s="90"/>
      <c r="G5018" s="90"/>
    </row>
    <row r="5019" spans="6:7" x14ac:dyDescent="0.3">
      <c r="F5019" s="90"/>
      <c r="G5019" s="90"/>
    </row>
    <row r="5020" spans="6:7" x14ac:dyDescent="0.3">
      <c r="F5020" s="90"/>
      <c r="G5020" s="90"/>
    </row>
    <row r="5021" spans="6:7" x14ac:dyDescent="0.3">
      <c r="F5021" s="90"/>
      <c r="G5021" s="90"/>
    </row>
    <row r="5022" spans="6:7" x14ac:dyDescent="0.3">
      <c r="F5022" s="90"/>
      <c r="G5022" s="90"/>
    </row>
    <row r="5023" spans="6:7" x14ac:dyDescent="0.3">
      <c r="F5023" s="90"/>
      <c r="G5023" s="90"/>
    </row>
    <row r="5024" spans="6:7" x14ac:dyDescent="0.3">
      <c r="F5024" s="90"/>
      <c r="G5024" s="90"/>
    </row>
    <row r="5025" spans="6:7" x14ac:dyDescent="0.3">
      <c r="F5025" s="90"/>
      <c r="G5025" s="90"/>
    </row>
    <row r="5026" spans="6:7" x14ac:dyDescent="0.3">
      <c r="F5026" s="90"/>
      <c r="G5026" s="90"/>
    </row>
    <row r="5027" spans="6:7" x14ac:dyDescent="0.3">
      <c r="F5027" s="90"/>
      <c r="G5027" s="90"/>
    </row>
    <row r="5028" spans="6:7" x14ac:dyDescent="0.3">
      <c r="F5028" s="90"/>
      <c r="G5028" s="90"/>
    </row>
    <row r="5029" spans="6:7" x14ac:dyDescent="0.3">
      <c r="F5029" s="90"/>
      <c r="G5029" s="90"/>
    </row>
    <row r="5030" spans="6:7" x14ac:dyDescent="0.3">
      <c r="F5030" s="90"/>
      <c r="G5030" s="90"/>
    </row>
    <row r="5031" spans="6:7" x14ac:dyDescent="0.3">
      <c r="F5031" s="90"/>
      <c r="G5031" s="90"/>
    </row>
    <row r="5032" spans="6:7" x14ac:dyDescent="0.3">
      <c r="F5032" s="90"/>
      <c r="G5032" s="90"/>
    </row>
    <row r="5033" spans="6:7" x14ac:dyDescent="0.3">
      <c r="F5033" s="90"/>
      <c r="G5033" s="90"/>
    </row>
    <row r="5034" spans="6:7" x14ac:dyDescent="0.3">
      <c r="F5034" s="90"/>
      <c r="G5034" s="90"/>
    </row>
    <row r="5035" spans="6:7" x14ac:dyDescent="0.3">
      <c r="F5035" s="90"/>
      <c r="G5035" s="90"/>
    </row>
    <row r="5036" spans="6:7" x14ac:dyDescent="0.3">
      <c r="F5036" s="90"/>
      <c r="G5036" s="90"/>
    </row>
    <row r="5037" spans="6:7" x14ac:dyDescent="0.3">
      <c r="F5037" s="90"/>
      <c r="G5037" s="90"/>
    </row>
    <row r="5038" spans="6:7" x14ac:dyDescent="0.3">
      <c r="F5038" s="90"/>
      <c r="G5038" s="90"/>
    </row>
    <row r="5039" spans="6:7" x14ac:dyDescent="0.3">
      <c r="F5039" s="90"/>
      <c r="G5039" s="90"/>
    </row>
    <row r="5040" spans="6:7" x14ac:dyDescent="0.3">
      <c r="F5040" s="90"/>
      <c r="G5040" s="90"/>
    </row>
    <row r="5041" spans="6:7" x14ac:dyDescent="0.3">
      <c r="F5041" s="90"/>
      <c r="G5041" s="90"/>
    </row>
    <row r="5042" spans="6:7" x14ac:dyDescent="0.3">
      <c r="F5042" s="90"/>
      <c r="G5042" s="90"/>
    </row>
    <row r="5043" spans="6:7" x14ac:dyDescent="0.3">
      <c r="F5043" s="90"/>
      <c r="G5043" s="90"/>
    </row>
    <row r="5044" spans="6:7" x14ac:dyDescent="0.3">
      <c r="F5044" s="90"/>
      <c r="G5044" s="90"/>
    </row>
    <row r="5045" spans="6:7" x14ac:dyDescent="0.3">
      <c r="F5045" s="90"/>
      <c r="G5045" s="90"/>
    </row>
    <row r="5046" spans="6:7" x14ac:dyDescent="0.3">
      <c r="F5046" s="90"/>
      <c r="G5046" s="90"/>
    </row>
    <row r="5047" spans="6:7" x14ac:dyDescent="0.3">
      <c r="F5047" s="90"/>
      <c r="G5047" s="90"/>
    </row>
    <row r="5048" spans="6:7" x14ac:dyDescent="0.3">
      <c r="F5048" s="90"/>
      <c r="G5048" s="90"/>
    </row>
    <row r="5049" spans="6:7" x14ac:dyDescent="0.3">
      <c r="F5049" s="90"/>
      <c r="G5049" s="90"/>
    </row>
    <row r="5050" spans="6:7" x14ac:dyDescent="0.3">
      <c r="F5050" s="90"/>
      <c r="G5050" s="90"/>
    </row>
    <row r="5051" spans="6:7" x14ac:dyDescent="0.3">
      <c r="F5051" s="90"/>
      <c r="G5051" s="90"/>
    </row>
    <row r="5052" spans="6:7" x14ac:dyDescent="0.3">
      <c r="F5052" s="90"/>
      <c r="G5052" s="90"/>
    </row>
    <row r="5053" spans="6:7" x14ac:dyDescent="0.3">
      <c r="F5053" s="90"/>
      <c r="G5053" s="90"/>
    </row>
    <row r="5054" spans="6:7" x14ac:dyDescent="0.3">
      <c r="F5054" s="90"/>
      <c r="G5054" s="90"/>
    </row>
    <row r="5055" spans="6:7" x14ac:dyDescent="0.3">
      <c r="F5055" s="90"/>
      <c r="G5055" s="90"/>
    </row>
    <row r="5056" spans="6:7" x14ac:dyDescent="0.3">
      <c r="F5056" s="90"/>
      <c r="G5056" s="90"/>
    </row>
    <row r="5057" spans="6:7" x14ac:dyDescent="0.3">
      <c r="F5057" s="90"/>
      <c r="G5057" s="90"/>
    </row>
    <row r="5058" spans="6:7" x14ac:dyDescent="0.3">
      <c r="F5058" s="90"/>
      <c r="G5058" s="90"/>
    </row>
    <row r="5059" spans="6:7" x14ac:dyDescent="0.3">
      <c r="F5059" s="90"/>
      <c r="G5059" s="90"/>
    </row>
    <row r="5060" spans="6:7" x14ac:dyDescent="0.3">
      <c r="F5060" s="90"/>
      <c r="G5060" s="90"/>
    </row>
    <row r="5061" spans="6:7" x14ac:dyDescent="0.3">
      <c r="F5061" s="90"/>
      <c r="G5061" s="90"/>
    </row>
    <row r="5062" spans="6:7" x14ac:dyDescent="0.3">
      <c r="F5062" s="90"/>
      <c r="G5062" s="90"/>
    </row>
    <row r="5063" spans="6:7" x14ac:dyDescent="0.3">
      <c r="F5063" s="90"/>
      <c r="G5063" s="90"/>
    </row>
    <row r="5064" spans="6:7" x14ac:dyDescent="0.3">
      <c r="F5064" s="90"/>
      <c r="G5064" s="90"/>
    </row>
    <row r="5065" spans="6:7" x14ac:dyDescent="0.3">
      <c r="F5065" s="90"/>
      <c r="G5065" s="90"/>
    </row>
    <row r="5066" spans="6:7" x14ac:dyDescent="0.3">
      <c r="F5066" s="90"/>
      <c r="G5066" s="90"/>
    </row>
    <row r="5067" spans="6:7" x14ac:dyDescent="0.3">
      <c r="F5067" s="90"/>
      <c r="G5067" s="90"/>
    </row>
    <row r="5068" spans="6:7" x14ac:dyDescent="0.3">
      <c r="F5068" s="90"/>
      <c r="G5068" s="90"/>
    </row>
    <row r="5069" spans="6:7" x14ac:dyDescent="0.3">
      <c r="F5069" s="90"/>
      <c r="G5069" s="90"/>
    </row>
    <row r="5070" spans="6:7" x14ac:dyDescent="0.3">
      <c r="F5070" s="90"/>
      <c r="G5070" s="90"/>
    </row>
    <row r="5071" spans="6:7" x14ac:dyDescent="0.3">
      <c r="F5071" s="90"/>
      <c r="G5071" s="90"/>
    </row>
    <row r="5072" spans="6:7" x14ac:dyDescent="0.3">
      <c r="F5072" s="90"/>
      <c r="G5072" s="90"/>
    </row>
    <row r="5073" spans="6:7" x14ac:dyDescent="0.3">
      <c r="F5073" s="90"/>
      <c r="G5073" s="90"/>
    </row>
    <row r="5074" spans="6:7" x14ac:dyDescent="0.3">
      <c r="F5074" s="90"/>
      <c r="G5074" s="90"/>
    </row>
    <row r="5075" spans="6:7" x14ac:dyDescent="0.3">
      <c r="F5075" s="90"/>
      <c r="G5075" s="90"/>
    </row>
    <row r="5076" spans="6:7" x14ac:dyDescent="0.3">
      <c r="F5076" s="90"/>
      <c r="G5076" s="90"/>
    </row>
    <row r="5077" spans="6:7" x14ac:dyDescent="0.3">
      <c r="F5077" s="90"/>
      <c r="G5077" s="90"/>
    </row>
    <row r="5078" spans="6:7" x14ac:dyDescent="0.3">
      <c r="F5078" s="90"/>
      <c r="G5078" s="90"/>
    </row>
    <row r="5079" spans="6:7" x14ac:dyDescent="0.3">
      <c r="F5079" s="90"/>
      <c r="G5079" s="90"/>
    </row>
    <row r="5080" spans="6:7" x14ac:dyDescent="0.3">
      <c r="F5080" s="90"/>
      <c r="G5080" s="90"/>
    </row>
    <row r="5081" spans="6:7" x14ac:dyDescent="0.3">
      <c r="F5081" s="90"/>
      <c r="G5081" s="90"/>
    </row>
    <row r="5082" spans="6:7" x14ac:dyDescent="0.3">
      <c r="F5082" s="90"/>
      <c r="G5082" s="90"/>
    </row>
    <row r="5083" spans="6:7" x14ac:dyDescent="0.3">
      <c r="F5083" s="90"/>
      <c r="G5083" s="90"/>
    </row>
    <row r="5084" spans="6:7" x14ac:dyDescent="0.3">
      <c r="F5084" s="90"/>
      <c r="G5084" s="90"/>
    </row>
    <row r="5085" spans="6:7" x14ac:dyDescent="0.3">
      <c r="F5085" s="90"/>
      <c r="G5085" s="90"/>
    </row>
    <row r="5086" spans="6:7" x14ac:dyDescent="0.3">
      <c r="F5086" s="90"/>
      <c r="G5086" s="90"/>
    </row>
    <row r="5087" spans="6:7" x14ac:dyDescent="0.3">
      <c r="F5087" s="90"/>
      <c r="G5087" s="90"/>
    </row>
    <row r="5088" spans="6:7" x14ac:dyDescent="0.3">
      <c r="F5088" s="90"/>
      <c r="G5088" s="90"/>
    </row>
    <row r="5089" spans="6:7" x14ac:dyDescent="0.3">
      <c r="F5089" s="90"/>
      <c r="G5089" s="90"/>
    </row>
    <row r="5090" spans="6:7" x14ac:dyDescent="0.3">
      <c r="F5090" s="90"/>
      <c r="G5090" s="90"/>
    </row>
    <row r="5091" spans="6:7" x14ac:dyDescent="0.3">
      <c r="F5091" s="90"/>
      <c r="G5091" s="90"/>
    </row>
    <row r="5092" spans="6:7" x14ac:dyDescent="0.3">
      <c r="F5092" s="90"/>
      <c r="G5092" s="90"/>
    </row>
    <row r="5093" spans="6:7" x14ac:dyDescent="0.3">
      <c r="F5093" s="90"/>
      <c r="G5093" s="90"/>
    </row>
    <row r="5094" spans="6:7" x14ac:dyDescent="0.3">
      <c r="F5094" s="90"/>
      <c r="G5094" s="90"/>
    </row>
    <row r="5095" spans="6:7" x14ac:dyDescent="0.3">
      <c r="F5095" s="90"/>
      <c r="G5095" s="90"/>
    </row>
    <row r="5096" spans="6:7" x14ac:dyDescent="0.3">
      <c r="F5096" s="90"/>
      <c r="G5096" s="90"/>
    </row>
    <row r="5097" spans="6:7" x14ac:dyDescent="0.3">
      <c r="F5097" s="90"/>
      <c r="G5097" s="90"/>
    </row>
    <row r="5098" spans="6:7" x14ac:dyDescent="0.3">
      <c r="F5098" s="90"/>
      <c r="G5098" s="90"/>
    </row>
    <row r="5099" spans="6:7" x14ac:dyDescent="0.3">
      <c r="F5099" s="90"/>
      <c r="G5099" s="90"/>
    </row>
    <row r="5100" spans="6:7" x14ac:dyDescent="0.3">
      <c r="F5100" s="90"/>
      <c r="G5100" s="90"/>
    </row>
    <row r="5101" spans="6:7" x14ac:dyDescent="0.3">
      <c r="F5101" s="90"/>
      <c r="G5101" s="90"/>
    </row>
    <row r="5102" spans="6:7" x14ac:dyDescent="0.3">
      <c r="F5102" s="90"/>
      <c r="G5102" s="90"/>
    </row>
    <row r="5103" spans="6:7" x14ac:dyDescent="0.3">
      <c r="F5103" s="90"/>
      <c r="G5103" s="90"/>
    </row>
    <row r="5104" spans="6:7" x14ac:dyDescent="0.3">
      <c r="F5104" s="90"/>
      <c r="G5104" s="90"/>
    </row>
    <row r="5105" spans="6:7" x14ac:dyDescent="0.3">
      <c r="F5105" s="90"/>
      <c r="G5105" s="90"/>
    </row>
    <row r="5106" spans="6:7" x14ac:dyDescent="0.3">
      <c r="F5106" s="90"/>
      <c r="G5106" s="90"/>
    </row>
    <row r="5107" spans="6:7" x14ac:dyDescent="0.3">
      <c r="F5107" s="90"/>
      <c r="G5107" s="90"/>
    </row>
    <row r="5108" spans="6:7" x14ac:dyDescent="0.3">
      <c r="F5108" s="90"/>
      <c r="G5108" s="90"/>
    </row>
    <row r="5109" spans="6:7" x14ac:dyDescent="0.3">
      <c r="F5109" s="90"/>
      <c r="G5109" s="90"/>
    </row>
    <row r="5110" spans="6:7" x14ac:dyDescent="0.3">
      <c r="F5110" s="90"/>
      <c r="G5110" s="90"/>
    </row>
    <row r="5111" spans="6:7" x14ac:dyDescent="0.3">
      <c r="F5111" s="90"/>
      <c r="G5111" s="90"/>
    </row>
    <row r="5112" spans="6:7" x14ac:dyDescent="0.3">
      <c r="F5112" s="90"/>
      <c r="G5112" s="90"/>
    </row>
    <row r="5113" spans="6:7" x14ac:dyDescent="0.3">
      <c r="F5113" s="90"/>
      <c r="G5113" s="90"/>
    </row>
    <row r="5114" spans="6:7" x14ac:dyDescent="0.3">
      <c r="F5114" s="90"/>
      <c r="G5114" s="90"/>
    </row>
    <row r="5115" spans="6:7" x14ac:dyDescent="0.3">
      <c r="F5115" s="90"/>
      <c r="G5115" s="90"/>
    </row>
    <row r="5116" spans="6:7" x14ac:dyDescent="0.3">
      <c r="F5116" s="90"/>
      <c r="G5116" s="90"/>
    </row>
    <row r="5117" spans="6:7" x14ac:dyDescent="0.3">
      <c r="F5117" s="90"/>
      <c r="G5117" s="90"/>
    </row>
    <row r="5118" spans="6:7" x14ac:dyDescent="0.3">
      <c r="F5118" s="90"/>
      <c r="G5118" s="90"/>
    </row>
    <row r="5119" spans="6:7" x14ac:dyDescent="0.3">
      <c r="F5119" s="90"/>
      <c r="G5119" s="90"/>
    </row>
    <row r="5120" spans="6:7" x14ac:dyDescent="0.3">
      <c r="F5120" s="90"/>
      <c r="G5120" s="90"/>
    </row>
    <row r="5121" spans="6:7" x14ac:dyDescent="0.3">
      <c r="F5121" s="90"/>
      <c r="G5121" s="90"/>
    </row>
    <row r="5122" spans="6:7" x14ac:dyDescent="0.3">
      <c r="F5122" s="90"/>
      <c r="G5122" s="90"/>
    </row>
    <row r="5123" spans="6:7" x14ac:dyDescent="0.3">
      <c r="F5123" s="90"/>
      <c r="G5123" s="90"/>
    </row>
    <row r="5124" spans="6:7" x14ac:dyDescent="0.3">
      <c r="F5124" s="90"/>
      <c r="G5124" s="90"/>
    </row>
    <row r="5125" spans="6:7" x14ac:dyDescent="0.3">
      <c r="F5125" s="90"/>
      <c r="G5125" s="90"/>
    </row>
    <row r="5126" spans="6:7" x14ac:dyDescent="0.3">
      <c r="F5126" s="90"/>
      <c r="G5126" s="90"/>
    </row>
    <row r="5127" spans="6:7" x14ac:dyDescent="0.3">
      <c r="F5127" s="90"/>
      <c r="G5127" s="90"/>
    </row>
    <row r="5128" spans="6:7" x14ac:dyDescent="0.3">
      <c r="F5128" s="90"/>
      <c r="G5128" s="90"/>
    </row>
    <row r="5129" spans="6:7" x14ac:dyDescent="0.3">
      <c r="F5129" s="90"/>
      <c r="G5129" s="90"/>
    </row>
    <row r="5130" spans="6:7" x14ac:dyDescent="0.3">
      <c r="F5130" s="90"/>
      <c r="G5130" s="90"/>
    </row>
    <row r="5131" spans="6:7" x14ac:dyDescent="0.3">
      <c r="F5131" s="90"/>
      <c r="G5131" s="90"/>
    </row>
    <row r="5132" spans="6:7" x14ac:dyDescent="0.3">
      <c r="F5132" s="90"/>
      <c r="G5132" s="90"/>
    </row>
    <row r="5133" spans="6:7" x14ac:dyDescent="0.3">
      <c r="F5133" s="90"/>
      <c r="G5133" s="90"/>
    </row>
    <row r="5134" spans="6:7" x14ac:dyDescent="0.3">
      <c r="F5134" s="90"/>
      <c r="G5134" s="90"/>
    </row>
    <row r="5135" spans="6:7" x14ac:dyDescent="0.3">
      <c r="F5135" s="90"/>
      <c r="G5135" s="90"/>
    </row>
    <row r="5136" spans="6:7" x14ac:dyDescent="0.3">
      <c r="F5136" s="90"/>
      <c r="G5136" s="90"/>
    </row>
    <row r="5137" spans="6:7" x14ac:dyDescent="0.3">
      <c r="F5137" s="90"/>
      <c r="G5137" s="90"/>
    </row>
    <row r="5138" spans="6:7" x14ac:dyDescent="0.3">
      <c r="F5138" s="90"/>
      <c r="G5138" s="90"/>
    </row>
    <row r="5139" spans="6:7" x14ac:dyDescent="0.3">
      <c r="F5139" s="90"/>
      <c r="G5139" s="90"/>
    </row>
    <row r="5140" spans="6:7" x14ac:dyDescent="0.3">
      <c r="F5140" s="90"/>
      <c r="G5140" s="90"/>
    </row>
    <row r="5141" spans="6:7" x14ac:dyDescent="0.3">
      <c r="F5141" s="90"/>
      <c r="G5141" s="90"/>
    </row>
    <row r="5142" spans="6:7" x14ac:dyDescent="0.3">
      <c r="F5142" s="90"/>
      <c r="G5142" s="90"/>
    </row>
    <row r="5143" spans="6:7" x14ac:dyDescent="0.3">
      <c r="F5143" s="90"/>
      <c r="G5143" s="90"/>
    </row>
    <row r="5144" spans="6:7" x14ac:dyDescent="0.3">
      <c r="F5144" s="90"/>
      <c r="G5144" s="90"/>
    </row>
    <row r="5145" spans="6:7" x14ac:dyDescent="0.3">
      <c r="F5145" s="90"/>
      <c r="G5145" s="90"/>
    </row>
    <row r="5146" spans="6:7" x14ac:dyDescent="0.3">
      <c r="F5146" s="90"/>
      <c r="G5146" s="90"/>
    </row>
    <row r="5147" spans="6:7" x14ac:dyDescent="0.3">
      <c r="F5147" s="90"/>
      <c r="G5147" s="90"/>
    </row>
    <row r="5148" spans="6:7" x14ac:dyDescent="0.3">
      <c r="F5148" s="90"/>
      <c r="G5148" s="90"/>
    </row>
    <row r="5149" spans="6:7" x14ac:dyDescent="0.3">
      <c r="F5149" s="90"/>
      <c r="G5149" s="90"/>
    </row>
    <row r="5150" spans="6:7" x14ac:dyDescent="0.3">
      <c r="F5150" s="90"/>
      <c r="G5150" s="90"/>
    </row>
    <row r="5151" spans="6:7" x14ac:dyDescent="0.3">
      <c r="F5151" s="90"/>
      <c r="G5151" s="90"/>
    </row>
    <row r="5152" spans="6:7" x14ac:dyDescent="0.3">
      <c r="F5152" s="90"/>
      <c r="G5152" s="90"/>
    </row>
    <row r="5153" spans="6:7" x14ac:dyDescent="0.3">
      <c r="F5153" s="90"/>
      <c r="G5153" s="90"/>
    </row>
    <row r="5154" spans="6:7" x14ac:dyDescent="0.3">
      <c r="F5154" s="90"/>
      <c r="G5154" s="90"/>
    </row>
    <row r="5155" spans="6:7" x14ac:dyDescent="0.3">
      <c r="F5155" s="90"/>
      <c r="G5155" s="90"/>
    </row>
    <row r="5156" spans="6:7" x14ac:dyDescent="0.3">
      <c r="F5156" s="90"/>
      <c r="G5156" s="90"/>
    </row>
    <row r="5157" spans="6:7" x14ac:dyDescent="0.3">
      <c r="F5157" s="90"/>
      <c r="G5157" s="90"/>
    </row>
    <row r="5158" spans="6:7" x14ac:dyDescent="0.3">
      <c r="F5158" s="90"/>
      <c r="G5158" s="90"/>
    </row>
    <row r="5159" spans="6:7" x14ac:dyDescent="0.3">
      <c r="F5159" s="90"/>
      <c r="G5159" s="90"/>
    </row>
    <row r="5160" spans="6:7" x14ac:dyDescent="0.3">
      <c r="F5160" s="90"/>
      <c r="G5160" s="90"/>
    </row>
    <row r="5161" spans="6:7" x14ac:dyDescent="0.3">
      <c r="F5161" s="90"/>
      <c r="G5161" s="90"/>
    </row>
    <row r="5162" spans="6:7" x14ac:dyDescent="0.3">
      <c r="F5162" s="90"/>
      <c r="G5162" s="90"/>
    </row>
    <row r="5163" spans="6:7" x14ac:dyDescent="0.3">
      <c r="F5163" s="90"/>
      <c r="G5163" s="90"/>
    </row>
    <row r="5164" spans="6:7" x14ac:dyDescent="0.3">
      <c r="F5164" s="90"/>
      <c r="G5164" s="90"/>
    </row>
    <row r="5165" spans="6:7" x14ac:dyDescent="0.3">
      <c r="F5165" s="90"/>
      <c r="G5165" s="90"/>
    </row>
    <row r="5166" spans="6:7" x14ac:dyDescent="0.3">
      <c r="F5166" s="90"/>
      <c r="G5166" s="90"/>
    </row>
    <row r="5167" spans="6:7" x14ac:dyDescent="0.3">
      <c r="F5167" s="90"/>
      <c r="G5167" s="90"/>
    </row>
    <row r="5168" spans="6:7" x14ac:dyDescent="0.3">
      <c r="F5168" s="90"/>
      <c r="G5168" s="90"/>
    </row>
    <row r="5169" spans="6:7" x14ac:dyDescent="0.3">
      <c r="F5169" s="90"/>
      <c r="G5169" s="90"/>
    </row>
    <row r="5170" spans="6:7" x14ac:dyDescent="0.3">
      <c r="F5170" s="90"/>
      <c r="G5170" s="90"/>
    </row>
    <row r="5171" spans="6:7" x14ac:dyDescent="0.3">
      <c r="F5171" s="90"/>
      <c r="G5171" s="90"/>
    </row>
    <row r="5172" spans="6:7" x14ac:dyDescent="0.3">
      <c r="F5172" s="90"/>
      <c r="G5172" s="90"/>
    </row>
    <row r="5173" spans="6:7" x14ac:dyDescent="0.3">
      <c r="F5173" s="90"/>
      <c r="G5173" s="90"/>
    </row>
    <row r="5174" spans="6:7" x14ac:dyDescent="0.3">
      <c r="F5174" s="90"/>
      <c r="G5174" s="90"/>
    </row>
    <row r="5175" spans="6:7" x14ac:dyDescent="0.3">
      <c r="F5175" s="90"/>
      <c r="G5175" s="90"/>
    </row>
    <row r="5176" spans="6:7" x14ac:dyDescent="0.3">
      <c r="F5176" s="90"/>
      <c r="G5176" s="90"/>
    </row>
    <row r="5177" spans="6:7" x14ac:dyDescent="0.3">
      <c r="F5177" s="90"/>
      <c r="G5177" s="90"/>
    </row>
    <row r="5178" spans="6:7" x14ac:dyDescent="0.3">
      <c r="F5178" s="90"/>
      <c r="G5178" s="90"/>
    </row>
    <row r="5179" spans="6:7" x14ac:dyDescent="0.3">
      <c r="F5179" s="90"/>
      <c r="G5179" s="90"/>
    </row>
    <row r="5180" spans="6:7" x14ac:dyDescent="0.3">
      <c r="F5180" s="90"/>
      <c r="G5180" s="90"/>
    </row>
    <row r="5181" spans="6:7" x14ac:dyDescent="0.3">
      <c r="F5181" s="90"/>
      <c r="G5181" s="90"/>
    </row>
    <row r="5182" spans="6:7" x14ac:dyDescent="0.3">
      <c r="F5182" s="90"/>
      <c r="G5182" s="90"/>
    </row>
    <row r="5183" spans="6:7" x14ac:dyDescent="0.3">
      <c r="F5183" s="90"/>
      <c r="G5183" s="90"/>
    </row>
    <row r="5184" spans="6:7" x14ac:dyDescent="0.3">
      <c r="F5184" s="90"/>
      <c r="G5184" s="90"/>
    </row>
    <row r="5185" spans="6:7" x14ac:dyDescent="0.3">
      <c r="F5185" s="90"/>
      <c r="G5185" s="90"/>
    </row>
    <row r="5186" spans="6:7" x14ac:dyDescent="0.3">
      <c r="F5186" s="90"/>
      <c r="G5186" s="90"/>
    </row>
    <row r="5187" spans="6:7" x14ac:dyDescent="0.3">
      <c r="F5187" s="90"/>
      <c r="G5187" s="90"/>
    </row>
    <row r="5188" spans="6:7" x14ac:dyDescent="0.3">
      <c r="F5188" s="90"/>
      <c r="G5188" s="90"/>
    </row>
    <row r="5189" spans="6:7" x14ac:dyDescent="0.3">
      <c r="F5189" s="90"/>
      <c r="G5189" s="90"/>
    </row>
    <row r="5190" spans="6:7" x14ac:dyDescent="0.3">
      <c r="F5190" s="90"/>
      <c r="G5190" s="90"/>
    </row>
    <row r="5191" spans="6:7" x14ac:dyDescent="0.3">
      <c r="F5191" s="90"/>
      <c r="G5191" s="90"/>
    </row>
    <row r="5192" spans="6:7" x14ac:dyDescent="0.3">
      <c r="F5192" s="90"/>
      <c r="G5192" s="90"/>
    </row>
    <row r="5193" spans="6:7" x14ac:dyDescent="0.3">
      <c r="F5193" s="90"/>
      <c r="G5193" s="90"/>
    </row>
    <row r="5194" spans="6:7" x14ac:dyDescent="0.3">
      <c r="F5194" s="90"/>
      <c r="G5194" s="90"/>
    </row>
    <row r="5195" spans="6:7" x14ac:dyDescent="0.3">
      <c r="F5195" s="90"/>
      <c r="G5195" s="90"/>
    </row>
    <row r="5196" spans="6:7" x14ac:dyDescent="0.3">
      <c r="F5196" s="90"/>
      <c r="G5196" s="90"/>
    </row>
    <row r="5197" spans="6:7" x14ac:dyDescent="0.3">
      <c r="F5197" s="90"/>
      <c r="G5197" s="90"/>
    </row>
    <row r="5198" spans="6:7" x14ac:dyDescent="0.3">
      <c r="F5198" s="90"/>
      <c r="G5198" s="90"/>
    </row>
    <row r="5199" spans="6:7" x14ac:dyDescent="0.3">
      <c r="F5199" s="90"/>
      <c r="G5199" s="90"/>
    </row>
    <row r="5200" spans="6:7" x14ac:dyDescent="0.3">
      <c r="F5200" s="90"/>
      <c r="G5200" s="90"/>
    </row>
    <row r="5201" spans="6:7" x14ac:dyDescent="0.3">
      <c r="F5201" s="90"/>
      <c r="G5201" s="90"/>
    </row>
    <row r="5202" spans="6:7" x14ac:dyDescent="0.3">
      <c r="F5202" s="90"/>
      <c r="G5202" s="90"/>
    </row>
    <row r="5203" spans="6:7" x14ac:dyDescent="0.3">
      <c r="F5203" s="90"/>
      <c r="G5203" s="90"/>
    </row>
    <row r="5204" spans="6:7" x14ac:dyDescent="0.3">
      <c r="F5204" s="90"/>
      <c r="G5204" s="90"/>
    </row>
    <row r="5205" spans="6:7" x14ac:dyDescent="0.3">
      <c r="F5205" s="90"/>
      <c r="G5205" s="90"/>
    </row>
    <row r="5206" spans="6:7" x14ac:dyDescent="0.3">
      <c r="F5206" s="90"/>
      <c r="G5206" s="90"/>
    </row>
    <row r="5207" spans="6:7" x14ac:dyDescent="0.3">
      <c r="F5207" s="90"/>
      <c r="G5207" s="90"/>
    </row>
    <row r="5208" spans="6:7" x14ac:dyDescent="0.3">
      <c r="F5208" s="90"/>
      <c r="G5208" s="90"/>
    </row>
    <row r="5209" spans="6:7" x14ac:dyDescent="0.3">
      <c r="F5209" s="90"/>
      <c r="G5209" s="90"/>
    </row>
    <row r="5210" spans="6:7" x14ac:dyDescent="0.3">
      <c r="F5210" s="90"/>
      <c r="G5210" s="90"/>
    </row>
    <row r="5211" spans="6:7" x14ac:dyDescent="0.3">
      <c r="F5211" s="90"/>
      <c r="G5211" s="90"/>
    </row>
    <row r="5212" spans="6:7" x14ac:dyDescent="0.3">
      <c r="F5212" s="90"/>
      <c r="G5212" s="90"/>
    </row>
    <row r="5213" spans="6:7" x14ac:dyDescent="0.3">
      <c r="F5213" s="90"/>
      <c r="G5213" s="90"/>
    </row>
    <row r="5214" spans="6:7" x14ac:dyDescent="0.3">
      <c r="F5214" s="90"/>
      <c r="G5214" s="90"/>
    </row>
    <row r="5215" spans="6:7" x14ac:dyDescent="0.3">
      <c r="F5215" s="90"/>
      <c r="G5215" s="90"/>
    </row>
    <row r="5216" spans="6:7" x14ac:dyDescent="0.3">
      <c r="F5216" s="90"/>
      <c r="G5216" s="90"/>
    </row>
    <row r="5217" spans="6:7" x14ac:dyDescent="0.3">
      <c r="F5217" s="90"/>
      <c r="G5217" s="90"/>
    </row>
    <row r="5218" spans="6:7" x14ac:dyDescent="0.3">
      <c r="F5218" s="90"/>
      <c r="G5218" s="90"/>
    </row>
    <row r="5219" spans="6:7" x14ac:dyDescent="0.3">
      <c r="F5219" s="90"/>
      <c r="G5219" s="90"/>
    </row>
    <row r="5220" spans="6:7" x14ac:dyDescent="0.3">
      <c r="F5220" s="90"/>
      <c r="G5220" s="90"/>
    </row>
    <row r="5221" spans="6:7" x14ac:dyDescent="0.3">
      <c r="F5221" s="90"/>
      <c r="G5221" s="90"/>
    </row>
    <row r="5222" spans="6:7" x14ac:dyDescent="0.3">
      <c r="F5222" s="90"/>
      <c r="G5222" s="90"/>
    </row>
    <row r="5223" spans="6:7" x14ac:dyDescent="0.3">
      <c r="F5223" s="90"/>
      <c r="G5223" s="90"/>
    </row>
    <row r="5224" spans="6:7" x14ac:dyDescent="0.3">
      <c r="F5224" s="90"/>
      <c r="G5224" s="90"/>
    </row>
    <row r="5225" spans="6:7" x14ac:dyDescent="0.3">
      <c r="F5225" s="90"/>
      <c r="G5225" s="90"/>
    </row>
    <row r="5226" spans="6:7" x14ac:dyDescent="0.3">
      <c r="F5226" s="90"/>
      <c r="G5226" s="90"/>
    </row>
    <row r="5227" spans="6:7" x14ac:dyDescent="0.3">
      <c r="F5227" s="90"/>
      <c r="G5227" s="90"/>
    </row>
    <row r="5228" spans="6:7" x14ac:dyDescent="0.3">
      <c r="F5228" s="90"/>
      <c r="G5228" s="90"/>
    </row>
    <row r="5229" spans="6:7" x14ac:dyDescent="0.3">
      <c r="F5229" s="90"/>
      <c r="G5229" s="90"/>
    </row>
    <row r="5230" spans="6:7" x14ac:dyDescent="0.3">
      <c r="F5230" s="90"/>
      <c r="G5230" s="90"/>
    </row>
    <row r="5231" spans="6:7" x14ac:dyDescent="0.3">
      <c r="F5231" s="90"/>
      <c r="G5231" s="90"/>
    </row>
    <row r="5232" spans="6:7" x14ac:dyDescent="0.3">
      <c r="F5232" s="90"/>
      <c r="G5232" s="90"/>
    </row>
    <row r="5233" spans="6:7" x14ac:dyDescent="0.3">
      <c r="F5233" s="90"/>
      <c r="G5233" s="90"/>
    </row>
    <row r="5234" spans="6:7" x14ac:dyDescent="0.3">
      <c r="F5234" s="90"/>
      <c r="G5234" s="90"/>
    </row>
    <row r="5235" spans="6:7" x14ac:dyDescent="0.3">
      <c r="F5235" s="90"/>
      <c r="G5235" s="90"/>
    </row>
    <row r="5236" spans="6:7" x14ac:dyDescent="0.3">
      <c r="F5236" s="90"/>
      <c r="G5236" s="90"/>
    </row>
    <row r="5237" spans="6:7" x14ac:dyDescent="0.3">
      <c r="F5237" s="90"/>
      <c r="G5237" s="90"/>
    </row>
    <row r="5238" spans="6:7" x14ac:dyDescent="0.3">
      <c r="F5238" s="90"/>
      <c r="G5238" s="90"/>
    </row>
    <row r="5239" spans="6:7" x14ac:dyDescent="0.3">
      <c r="F5239" s="90"/>
      <c r="G5239" s="90"/>
    </row>
    <row r="5240" spans="6:7" x14ac:dyDescent="0.3">
      <c r="F5240" s="90"/>
      <c r="G5240" s="90"/>
    </row>
    <row r="5241" spans="6:7" x14ac:dyDescent="0.3">
      <c r="F5241" s="90"/>
      <c r="G5241" s="90"/>
    </row>
    <row r="5242" spans="6:7" x14ac:dyDescent="0.3">
      <c r="F5242" s="90"/>
      <c r="G5242" s="90"/>
    </row>
    <row r="5243" spans="6:7" x14ac:dyDescent="0.3">
      <c r="F5243" s="90"/>
      <c r="G5243" s="90"/>
    </row>
    <row r="5244" spans="6:7" x14ac:dyDescent="0.3">
      <c r="F5244" s="90"/>
      <c r="G5244" s="90"/>
    </row>
    <row r="5245" spans="6:7" x14ac:dyDescent="0.3">
      <c r="F5245" s="90"/>
      <c r="G5245" s="90"/>
    </row>
    <row r="5246" spans="6:7" x14ac:dyDescent="0.3">
      <c r="F5246" s="90"/>
      <c r="G5246" s="90"/>
    </row>
    <row r="5247" spans="6:7" x14ac:dyDescent="0.3">
      <c r="F5247" s="90"/>
      <c r="G5247" s="90"/>
    </row>
    <row r="5248" spans="6:7" x14ac:dyDescent="0.3">
      <c r="F5248" s="90"/>
      <c r="G5248" s="90"/>
    </row>
    <row r="5249" spans="6:7" x14ac:dyDescent="0.3">
      <c r="F5249" s="90"/>
      <c r="G5249" s="90"/>
    </row>
    <row r="5250" spans="6:7" x14ac:dyDescent="0.3">
      <c r="F5250" s="90"/>
      <c r="G5250" s="90"/>
    </row>
    <row r="5251" spans="6:7" x14ac:dyDescent="0.3">
      <c r="F5251" s="90"/>
      <c r="G5251" s="90"/>
    </row>
    <row r="5252" spans="6:7" x14ac:dyDescent="0.3">
      <c r="F5252" s="90"/>
      <c r="G5252" s="90"/>
    </row>
    <row r="5253" spans="6:7" x14ac:dyDescent="0.3">
      <c r="F5253" s="90"/>
      <c r="G5253" s="90"/>
    </row>
    <row r="5254" spans="6:7" x14ac:dyDescent="0.3">
      <c r="F5254" s="90"/>
      <c r="G5254" s="90"/>
    </row>
    <row r="5255" spans="6:7" x14ac:dyDescent="0.3">
      <c r="F5255" s="90"/>
      <c r="G5255" s="90"/>
    </row>
    <row r="5256" spans="6:7" x14ac:dyDescent="0.3">
      <c r="F5256" s="90"/>
      <c r="G5256" s="90"/>
    </row>
    <row r="5257" spans="6:7" x14ac:dyDescent="0.3">
      <c r="F5257" s="90"/>
      <c r="G5257" s="90"/>
    </row>
    <row r="5258" spans="6:7" x14ac:dyDescent="0.3">
      <c r="F5258" s="90"/>
      <c r="G5258" s="90"/>
    </row>
    <row r="5259" spans="6:7" x14ac:dyDescent="0.3">
      <c r="F5259" s="90"/>
      <c r="G5259" s="90"/>
    </row>
    <row r="5260" spans="6:7" x14ac:dyDescent="0.3">
      <c r="F5260" s="90"/>
      <c r="G5260" s="90"/>
    </row>
    <row r="5261" spans="6:7" x14ac:dyDescent="0.3">
      <c r="F5261" s="90"/>
      <c r="G5261" s="90"/>
    </row>
    <row r="5262" spans="6:7" x14ac:dyDescent="0.3">
      <c r="F5262" s="90"/>
      <c r="G5262" s="90"/>
    </row>
    <row r="5263" spans="6:7" x14ac:dyDescent="0.3">
      <c r="F5263" s="90"/>
      <c r="G5263" s="90"/>
    </row>
    <row r="5264" spans="6:7" x14ac:dyDescent="0.3">
      <c r="F5264" s="90"/>
      <c r="G5264" s="90"/>
    </row>
    <row r="5265" spans="6:7" x14ac:dyDescent="0.3">
      <c r="F5265" s="90"/>
      <c r="G5265" s="90"/>
    </row>
    <row r="5266" spans="6:7" x14ac:dyDescent="0.3">
      <c r="F5266" s="90"/>
      <c r="G5266" s="90"/>
    </row>
    <row r="5267" spans="6:7" x14ac:dyDescent="0.3">
      <c r="F5267" s="90"/>
      <c r="G5267" s="90"/>
    </row>
    <row r="5268" spans="6:7" x14ac:dyDescent="0.3">
      <c r="F5268" s="90"/>
      <c r="G5268" s="90"/>
    </row>
    <row r="5269" spans="6:7" x14ac:dyDescent="0.3">
      <c r="F5269" s="90"/>
      <c r="G5269" s="90"/>
    </row>
    <row r="5270" spans="6:7" x14ac:dyDescent="0.3">
      <c r="F5270" s="90"/>
      <c r="G5270" s="90"/>
    </row>
    <row r="5271" spans="6:7" x14ac:dyDescent="0.3">
      <c r="F5271" s="90"/>
      <c r="G5271" s="90"/>
    </row>
    <row r="5272" spans="6:7" x14ac:dyDescent="0.3">
      <c r="F5272" s="90"/>
      <c r="G5272" s="90"/>
    </row>
    <row r="5273" spans="6:7" x14ac:dyDescent="0.3">
      <c r="F5273" s="90"/>
      <c r="G5273" s="90"/>
    </row>
    <row r="5274" spans="6:7" x14ac:dyDescent="0.3">
      <c r="F5274" s="90"/>
      <c r="G5274" s="90"/>
    </row>
    <row r="5275" spans="6:7" x14ac:dyDescent="0.3">
      <c r="F5275" s="90"/>
      <c r="G5275" s="90"/>
    </row>
    <row r="5276" spans="6:7" x14ac:dyDescent="0.3">
      <c r="F5276" s="90"/>
      <c r="G5276" s="90"/>
    </row>
    <row r="5277" spans="6:7" x14ac:dyDescent="0.3">
      <c r="F5277" s="90"/>
      <c r="G5277" s="90"/>
    </row>
    <row r="5278" spans="6:7" x14ac:dyDescent="0.3">
      <c r="F5278" s="90"/>
      <c r="G5278" s="90"/>
    </row>
    <row r="5279" spans="6:7" x14ac:dyDescent="0.3">
      <c r="F5279" s="90"/>
      <c r="G5279" s="90"/>
    </row>
    <row r="5280" spans="6:7" x14ac:dyDescent="0.3">
      <c r="F5280" s="90"/>
      <c r="G5280" s="90"/>
    </row>
    <row r="5281" spans="6:7" x14ac:dyDescent="0.3">
      <c r="F5281" s="90"/>
      <c r="G5281" s="90"/>
    </row>
    <row r="5282" spans="6:7" x14ac:dyDescent="0.3">
      <c r="F5282" s="90"/>
      <c r="G5282" s="90"/>
    </row>
    <row r="5283" spans="6:7" x14ac:dyDescent="0.3">
      <c r="F5283" s="90"/>
      <c r="G5283" s="90"/>
    </row>
    <row r="5284" spans="6:7" x14ac:dyDescent="0.3">
      <c r="F5284" s="90"/>
      <c r="G5284" s="90"/>
    </row>
    <row r="5285" spans="6:7" x14ac:dyDescent="0.3">
      <c r="F5285" s="90"/>
      <c r="G5285" s="90"/>
    </row>
    <row r="5286" spans="6:7" x14ac:dyDescent="0.3">
      <c r="F5286" s="90"/>
      <c r="G5286" s="90"/>
    </row>
    <row r="5287" spans="6:7" x14ac:dyDescent="0.3">
      <c r="F5287" s="90"/>
      <c r="G5287" s="90"/>
    </row>
    <row r="5288" spans="6:7" x14ac:dyDescent="0.3">
      <c r="F5288" s="90"/>
      <c r="G5288" s="90"/>
    </row>
    <row r="5289" spans="6:7" x14ac:dyDescent="0.3">
      <c r="F5289" s="90"/>
      <c r="G5289" s="90"/>
    </row>
    <row r="5290" spans="6:7" x14ac:dyDescent="0.3">
      <c r="F5290" s="90"/>
      <c r="G5290" s="90"/>
    </row>
    <row r="5291" spans="6:7" x14ac:dyDescent="0.3">
      <c r="F5291" s="90"/>
      <c r="G5291" s="90"/>
    </row>
    <row r="5292" spans="6:7" x14ac:dyDescent="0.3">
      <c r="F5292" s="90"/>
      <c r="G5292" s="90"/>
    </row>
    <row r="5293" spans="6:7" x14ac:dyDescent="0.3">
      <c r="F5293" s="90"/>
      <c r="G5293" s="90"/>
    </row>
    <row r="5294" spans="6:7" x14ac:dyDescent="0.3">
      <c r="F5294" s="90"/>
      <c r="G5294" s="90"/>
    </row>
    <row r="5295" spans="6:7" x14ac:dyDescent="0.3">
      <c r="F5295" s="90"/>
      <c r="G5295" s="90"/>
    </row>
    <row r="5296" spans="6:7" x14ac:dyDescent="0.3">
      <c r="F5296" s="90"/>
      <c r="G5296" s="90"/>
    </row>
    <row r="5297" spans="6:7" x14ac:dyDescent="0.3">
      <c r="F5297" s="90"/>
      <c r="G5297" s="90"/>
    </row>
    <row r="5298" spans="6:7" x14ac:dyDescent="0.3">
      <c r="F5298" s="90"/>
      <c r="G5298" s="90"/>
    </row>
    <row r="5299" spans="6:7" x14ac:dyDescent="0.3">
      <c r="F5299" s="90"/>
      <c r="G5299" s="90"/>
    </row>
    <row r="5300" spans="6:7" x14ac:dyDescent="0.3">
      <c r="F5300" s="90"/>
      <c r="G5300" s="90"/>
    </row>
    <row r="5301" spans="6:7" x14ac:dyDescent="0.3">
      <c r="F5301" s="90"/>
      <c r="G5301" s="90"/>
    </row>
    <row r="5302" spans="6:7" x14ac:dyDescent="0.3">
      <c r="F5302" s="90"/>
      <c r="G5302" s="90"/>
    </row>
    <row r="5303" spans="6:7" x14ac:dyDescent="0.3">
      <c r="F5303" s="90"/>
      <c r="G5303" s="90"/>
    </row>
    <row r="5304" spans="6:7" x14ac:dyDescent="0.3">
      <c r="F5304" s="90"/>
      <c r="G5304" s="90"/>
    </row>
    <row r="5305" spans="6:7" x14ac:dyDescent="0.3">
      <c r="F5305" s="90"/>
      <c r="G5305" s="90"/>
    </row>
    <row r="5306" spans="6:7" x14ac:dyDescent="0.3">
      <c r="F5306" s="90"/>
      <c r="G5306" s="90"/>
    </row>
    <row r="5307" spans="6:7" x14ac:dyDescent="0.3">
      <c r="F5307" s="90"/>
      <c r="G5307" s="90"/>
    </row>
    <row r="5308" spans="6:7" x14ac:dyDescent="0.3">
      <c r="F5308" s="90"/>
      <c r="G5308" s="90"/>
    </row>
    <row r="5309" spans="6:7" x14ac:dyDescent="0.3">
      <c r="F5309" s="90"/>
      <c r="G5309" s="90"/>
    </row>
    <row r="5310" spans="6:7" x14ac:dyDescent="0.3">
      <c r="F5310" s="90"/>
      <c r="G5310" s="90"/>
    </row>
    <row r="5311" spans="6:7" x14ac:dyDescent="0.3">
      <c r="F5311" s="90"/>
      <c r="G5311" s="90"/>
    </row>
    <row r="5312" spans="6:7" x14ac:dyDescent="0.3">
      <c r="F5312" s="90"/>
      <c r="G5312" s="90"/>
    </row>
    <row r="5313" spans="6:7" x14ac:dyDescent="0.3">
      <c r="F5313" s="90"/>
      <c r="G5313" s="90"/>
    </row>
    <row r="5314" spans="6:7" x14ac:dyDescent="0.3">
      <c r="F5314" s="90"/>
      <c r="G5314" s="90"/>
    </row>
    <row r="5315" spans="6:7" x14ac:dyDescent="0.3">
      <c r="F5315" s="90"/>
      <c r="G5315" s="90"/>
    </row>
    <row r="5316" spans="6:7" x14ac:dyDescent="0.3">
      <c r="F5316" s="90"/>
      <c r="G5316" s="90"/>
    </row>
    <row r="5317" spans="6:7" x14ac:dyDescent="0.3">
      <c r="F5317" s="90"/>
      <c r="G5317" s="90"/>
    </row>
    <row r="5318" spans="6:7" x14ac:dyDescent="0.3">
      <c r="F5318" s="90"/>
      <c r="G5318" s="90"/>
    </row>
    <row r="5319" spans="6:7" x14ac:dyDescent="0.3">
      <c r="F5319" s="90"/>
      <c r="G5319" s="90"/>
    </row>
    <row r="5320" spans="6:7" x14ac:dyDescent="0.3">
      <c r="F5320" s="90"/>
      <c r="G5320" s="90"/>
    </row>
    <row r="5321" spans="6:7" x14ac:dyDescent="0.3">
      <c r="F5321" s="90"/>
      <c r="G5321" s="90"/>
    </row>
    <row r="5322" spans="6:7" x14ac:dyDescent="0.3">
      <c r="F5322" s="90"/>
      <c r="G5322" s="90"/>
    </row>
    <row r="5323" spans="6:7" x14ac:dyDescent="0.3">
      <c r="F5323" s="90"/>
      <c r="G5323" s="90"/>
    </row>
    <row r="5324" spans="6:7" x14ac:dyDescent="0.3">
      <c r="F5324" s="90"/>
      <c r="G5324" s="90"/>
    </row>
    <row r="5325" spans="6:7" x14ac:dyDescent="0.3">
      <c r="F5325" s="90"/>
      <c r="G5325" s="90"/>
    </row>
    <row r="5326" spans="6:7" x14ac:dyDescent="0.3">
      <c r="F5326" s="90"/>
      <c r="G5326" s="90"/>
    </row>
    <row r="5327" spans="6:7" x14ac:dyDescent="0.3">
      <c r="F5327" s="90"/>
      <c r="G5327" s="90"/>
    </row>
    <row r="5328" spans="6:7" x14ac:dyDescent="0.3">
      <c r="F5328" s="90"/>
      <c r="G5328" s="90"/>
    </row>
    <row r="5329" spans="6:7" x14ac:dyDescent="0.3">
      <c r="F5329" s="90"/>
      <c r="G5329" s="90"/>
    </row>
    <row r="5330" spans="6:7" x14ac:dyDescent="0.3">
      <c r="F5330" s="90"/>
      <c r="G5330" s="90"/>
    </row>
    <row r="5331" spans="6:7" x14ac:dyDescent="0.3">
      <c r="F5331" s="90"/>
      <c r="G5331" s="90"/>
    </row>
    <row r="5332" spans="6:7" x14ac:dyDescent="0.3">
      <c r="F5332" s="90"/>
      <c r="G5332" s="90"/>
    </row>
    <row r="5333" spans="6:7" x14ac:dyDescent="0.3">
      <c r="F5333" s="90"/>
      <c r="G5333" s="90"/>
    </row>
    <row r="5334" spans="6:7" x14ac:dyDescent="0.3">
      <c r="F5334" s="90"/>
      <c r="G5334" s="90"/>
    </row>
    <row r="5335" spans="6:7" x14ac:dyDescent="0.3">
      <c r="F5335" s="90"/>
      <c r="G5335" s="90"/>
    </row>
    <row r="5336" spans="6:7" x14ac:dyDescent="0.3">
      <c r="F5336" s="90"/>
      <c r="G5336" s="90"/>
    </row>
    <row r="5337" spans="6:7" x14ac:dyDescent="0.3">
      <c r="F5337" s="90"/>
      <c r="G5337" s="90"/>
    </row>
    <row r="5338" spans="6:7" x14ac:dyDescent="0.3">
      <c r="F5338" s="90"/>
      <c r="G5338" s="90"/>
    </row>
    <row r="5339" spans="6:7" x14ac:dyDescent="0.3">
      <c r="F5339" s="90"/>
      <c r="G5339" s="90"/>
    </row>
    <row r="5340" spans="6:7" x14ac:dyDescent="0.3">
      <c r="F5340" s="90"/>
      <c r="G5340" s="90"/>
    </row>
    <row r="5341" spans="6:7" x14ac:dyDescent="0.3">
      <c r="F5341" s="90"/>
      <c r="G5341" s="90"/>
    </row>
    <row r="5342" spans="6:7" x14ac:dyDescent="0.3">
      <c r="F5342" s="90"/>
      <c r="G5342" s="90"/>
    </row>
    <row r="5343" spans="6:7" x14ac:dyDescent="0.3">
      <c r="F5343" s="90"/>
      <c r="G5343" s="90"/>
    </row>
    <row r="5344" spans="6:7" x14ac:dyDescent="0.3">
      <c r="F5344" s="90"/>
      <c r="G5344" s="90"/>
    </row>
    <row r="5345" spans="6:7" x14ac:dyDescent="0.3">
      <c r="F5345" s="90"/>
      <c r="G5345" s="90"/>
    </row>
    <row r="5346" spans="6:7" x14ac:dyDescent="0.3">
      <c r="F5346" s="90"/>
      <c r="G5346" s="90"/>
    </row>
    <row r="5347" spans="6:7" x14ac:dyDescent="0.3">
      <c r="F5347" s="90"/>
      <c r="G5347" s="90"/>
    </row>
    <row r="5348" spans="6:7" x14ac:dyDescent="0.3">
      <c r="F5348" s="90"/>
      <c r="G5348" s="90"/>
    </row>
    <row r="5349" spans="6:7" x14ac:dyDescent="0.3">
      <c r="F5349" s="90"/>
      <c r="G5349" s="90"/>
    </row>
    <row r="5350" spans="6:7" x14ac:dyDescent="0.3">
      <c r="F5350" s="90"/>
      <c r="G5350" s="90"/>
    </row>
    <row r="5351" spans="6:7" x14ac:dyDescent="0.3">
      <c r="F5351" s="90"/>
      <c r="G5351" s="90"/>
    </row>
    <row r="5352" spans="6:7" x14ac:dyDescent="0.3">
      <c r="F5352" s="90"/>
      <c r="G5352" s="90"/>
    </row>
    <row r="5353" spans="6:7" x14ac:dyDescent="0.3">
      <c r="F5353" s="90"/>
      <c r="G5353" s="90"/>
    </row>
    <row r="5354" spans="6:7" x14ac:dyDescent="0.3">
      <c r="F5354" s="90"/>
      <c r="G5354" s="90"/>
    </row>
    <row r="5355" spans="6:7" x14ac:dyDescent="0.3">
      <c r="F5355" s="90"/>
      <c r="G5355" s="90"/>
    </row>
    <row r="5356" spans="6:7" x14ac:dyDescent="0.3">
      <c r="F5356" s="90"/>
      <c r="G5356" s="90"/>
    </row>
    <row r="5357" spans="6:7" x14ac:dyDescent="0.3">
      <c r="F5357" s="90"/>
      <c r="G5357" s="90"/>
    </row>
    <row r="5358" spans="6:7" x14ac:dyDescent="0.3">
      <c r="F5358" s="90"/>
      <c r="G5358" s="90"/>
    </row>
    <row r="5359" spans="6:7" x14ac:dyDescent="0.3">
      <c r="F5359" s="90"/>
      <c r="G5359" s="90"/>
    </row>
    <row r="5360" spans="6:7" x14ac:dyDescent="0.3">
      <c r="F5360" s="90"/>
      <c r="G5360" s="90"/>
    </row>
    <row r="5361" spans="6:7" x14ac:dyDescent="0.3">
      <c r="F5361" s="90"/>
      <c r="G5361" s="90"/>
    </row>
    <row r="5362" spans="6:7" x14ac:dyDescent="0.3">
      <c r="F5362" s="90"/>
      <c r="G5362" s="90"/>
    </row>
    <row r="5363" spans="6:7" x14ac:dyDescent="0.3">
      <c r="F5363" s="90"/>
      <c r="G5363" s="90"/>
    </row>
    <row r="5364" spans="6:7" x14ac:dyDescent="0.3">
      <c r="F5364" s="90"/>
      <c r="G5364" s="90"/>
    </row>
    <row r="5365" spans="6:7" x14ac:dyDescent="0.3">
      <c r="F5365" s="90"/>
      <c r="G5365" s="90"/>
    </row>
    <row r="5366" spans="6:7" x14ac:dyDescent="0.3">
      <c r="F5366" s="90"/>
      <c r="G5366" s="90"/>
    </row>
    <row r="5367" spans="6:7" x14ac:dyDescent="0.3">
      <c r="F5367" s="90"/>
      <c r="G5367" s="90"/>
    </row>
    <row r="5368" spans="6:7" x14ac:dyDescent="0.3">
      <c r="F5368" s="90"/>
      <c r="G5368" s="90"/>
    </row>
    <row r="5369" spans="6:7" x14ac:dyDescent="0.3">
      <c r="F5369" s="90"/>
      <c r="G5369" s="90"/>
    </row>
    <row r="5370" spans="6:7" x14ac:dyDescent="0.3">
      <c r="F5370" s="90"/>
      <c r="G5370" s="90"/>
    </row>
    <row r="5371" spans="6:7" x14ac:dyDescent="0.3">
      <c r="F5371" s="90"/>
      <c r="G5371" s="90"/>
    </row>
    <row r="5372" spans="6:7" x14ac:dyDescent="0.3">
      <c r="F5372" s="90"/>
      <c r="G5372" s="90"/>
    </row>
    <row r="5373" spans="6:7" x14ac:dyDescent="0.3">
      <c r="F5373" s="90"/>
      <c r="G5373" s="90"/>
    </row>
    <row r="5374" spans="6:7" x14ac:dyDescent="0.3">
      <c r="F5374" s="90"/>
      <c r="G5374" s="90"/>
    </row>
    <row r="5375" spans="6:7" x14ac:dyDescent="0.3">
      <c r="F5375" s="90"/>
      <c r="G5375" s="90"/>
    </row>
    <row r="5376" spans="6:7" x14ac:dyDescent="0.3">
      <c r="F5376" s="90"/>
      <c r="G5376" s="90"/>
    </row>
    <row r="5377" spans="6:7" x14ac:dyDescent="0.3">
      <c r="F5377" s="90"/>
      <c r="G5377" s="90"/>
    </row>
    <row r="5378" spans="6:7" x14ac:dyDescent="0.3">
      <c r="F5378" s="90"/>
      <c r="G5378" s="90"/>
    </row>
    <row r="5379" spans="6:7" x14ac:dyDescent="0.3">
      <c r="F5379" s="90"/>
      <c r="G5379" s="90"/>
    </row>
    <row r="5380" spans="6:7" x14ac:dyDescent="0.3">
      <c r="F5380" s="90"/>
      <c r="G5380" s="90"/>
    </row>
    <row r="5381" spans="6:7" x14ac:dyDescent="0.3">
      <c r="F5381" s="90"/>
      <c r="G5381" s="90"/>
    </row>
    <row r="5382" spans="6:7" x14ac:dyDescent="0.3">
      <c r="F5382" s="90"/>
      <c r="G5382" s="90"/>
    </row>
    <row r="5383" spans="6:7" x14ac:dyDescent="0.3">
      <c r="F5383" s="90"/>
      <c r="G5383" s="90"/>
    </row>
    <row r="5384" spans="6:7" x14ac:dyDescent="0.3">
      <c r="F5384" s="90"/>
      <c r="G5384" s="90"/>
    </row>
    <row r="5385" spans="6:7" x14ac:dyDescent="0.3">
      <c r="F5385" s="90"/>
      <c r="G5385" s="90"/>
    </row>
    <row r="5386" spans="6:7" x14ac:dyDescent="0.3">
      <c r="F5386" s="90"/>
      <c r="G5386" s="90"/>
    </row>
    <row r="5387" spans="6:7" x14ac:dyDescent="0.3">
      <c r="F5387" s="90"/>
      <c r="G5387" s="90"/>
    </row>
    <row r="5388" spans="6:7" x14ac:dyDescent="0.3">
      <c r="F5388" s="90"/>
      <c r="G5388" s="90"/>
    </row>
    <row r="5389" spans="6:7" x14ac:dyDescent="0.3">
      <c r="F5389" s="90"/>
      <c r="G5389" s="90"/>
    </row>
    <row r="5390" spans="6:7" x14ac:dyDescent="0.3">
      <c r="F5390" s="90"/>
      <c r="G5390" s="90"/>
    </row>
    <row r="5391" spans="6:7" x14ac:dyDescent="0.3">
      <c r="F5391" s="90"/>
      <c r="G5391" s="90"/>
    </row>
    <row r="5392" spans="6:7" x14ac:dyDescent="0.3">
      <c r="F5392" s="90"/>
      <c r="G5392" s="90"/>
    </row>
    <row r="5393" spans="6:7" x14ac:dyDescent="0.3">
      <c r="F5393" s="90"/>
      <c r="G5393" s="90"/>
    </row>
    <row r="5394" spans="6:7" x14ac:dyDescent="0.3">
      <c r="F5394" s="90"/>
      <c r="G5394" s="90"/>
    </row>
    <row r="5395" spans="6:7" x14ac:dyDescent="0.3">
      <c r="F5395" s="90"/>
      <c r="G5395" s="90"/>
    </row>
    <row r="5396" spans="6:7" x14ac:dyDescent="0.3">
      <c r="F5396" s="90"/>
      <c r="G5396" s="90"/>
    </row>
    <row r="5397" spans="6:7" x14ac:dyDescent="0.3">
      <c r="F5397" s="90"/>
      <c r="G5397" s="90"/>
    </row>
    <row r="5398" spans="6:7" x14ac:dyDescent="0.3">
      <c r="F5398" s="90"/>
      <c r="G5398" s="90"/>
    </row>
    <row r="5399" spans="6:7" x14ac:dyDescent="0.3">
      <c r="F5399" s="90"/>
      <c r="G5399" s="90"/>
    </row>
    <row r="5400" spans="6:7" x14ac:dyDescent="0.3">
      <c r="F5400" s="90"/>
      <c r="G5400" s="90"/>
    </row>
    <row r="5401" spans="6:7" x14ac:dyDescent="0.3">
      <c r="F5401" s="90"/>
      <c r="G5401" s="90"/>
    </row>
    <row r="5402" spans="6:7" x14ac:dyDescent="0.3">
      <c r="F5402" s="90"/>
      <c r="G5402" s="90"/>
    </row>
    <row r="5403" spans="6:7" x14ac:dyDescent="0.3">
      <c r="F5403" s="90"/>
      <c r="G5403" s="90"/>
    </row>
    <row r="5404" spans="6:7" x14ac:dyDescent="0.3">
      <c r="F5404" s="90"/>
      <c r="G5404" s="90"/>
    </row>
    <row r="5405" spans="6:7" x14ac:dyDescent="0.3">
      <c r="F5405" s="90"/>
      <c r="G5405" s="90"/>
    </row>
    <row r="5406" spans="6:7" x14ac:dyDescent="0.3">
      <c r="F5406" s="90"/>
      <c r="G5406" s="90"/>
    </row>
    <row r="5407" spans="6:7" x14ac:dyDescent="0.3">
      <c r="F5407" s="90"/>
      <c r="G5407" s="90"/>
    </row>
    <row r="5408" spans="6:7" x14ac:dyDescent="0.3">
      <c r="F5408" s="90"/>
      <c r="G5408" s="90"/>
    </row>
    <row r="5409" spans="6:7" x14ac:dyDescent="0.3">
      <c r="F5409" s="90"/>
      <c r="G5409" s="90"/>
    </row>
    <row r="5410" spans="6:7" x14ac:dyDescent="0.3">
      <c r="F5410" s="90"/>
      <c r="G5410" s="90"/>
    </row>
    <row r="5411" spans="6:7" x14ac:dyDescent="0.3">
      <c r="F5411" s="90"/>
      <c r="G5411" s="90"/>
    </row>
    <row r="5412" spans="6:7" x14ac:dyDescent="0.3">
      <c r="F5412" s="90"/>
      <c r="G5412" s="90"/>
    </row>
    <row r="5413" spans="6:7" x14ac:dyDescent="0.3">
      <c r="F5413" s="90"/>
      <c r="G5413" s="90"/>
    </row>
    <row r="5414" spans="6:7" x14ac:dyDescent="0.3">
      <c r="F5414" s="90"/>
      <c r="G5414" s="90"/>
    </row>
    <row r="5415" spans="6:7" x14ac:dyDescent="0.3">
      <c r="F5415" s="90"/>
      <c r="G5415" s="90"/>
    </row>
    <row r="5416" spans="6:7" x14ac:dyDescent="0.3">
      <c r="F5416" s="90"/>
      <c r="G5416" s="90"/>
    </row>
    <row r="5417" spans="6:7" x14ac:dyDescent="0.3">
      <c r="F5417" s="90"/>
      <c r="G5417" s="90"/>
    </row>
    <row r="5418" spans="6:7" x14ac:dyDescent="0.3">
      <c r="F5418" s="90"/>
      <c r="G5418" s="90"/>
    </row>
    <row r="5419" spans="6:7" x14ac:dyDescent="0.3">
      <c r="F5419" s="90"/>
      <c r="G5419" s="90"/>
    </row>
    <row r="5420" spans="6:7" x14ac:dyDescent="0.3">
      <c r="F5420" s="90"/>
      <c r="G5420" s="90"/>
    </row>
    <row r="5421" spans="6:7" x14ac:dyDescent="0.3">
      <c r="F5421" s="90"/>
      <c r="G5421" s="90"/>
    </row>
    <row r="5422" spans="6:7" x14ac:dyDescent="0.3">
      <c r="F5422" s="90"/>
      <c r="G5422" s="90"/>
    </row>
    <row r="5423" spans="6:7" x14ac:dyDescent="0.3">
      <c r="F5423" s="90"/>
      <c r="G5423" s="90"/>
    </row>
    <row r="5424" spans="6:7" x14ac:dyDescent="0.3">
      <c r="F5424" s="90"/>
      <c r="G5424" s="90"/>
    </row>
    <row r="5425" spans="6:7" x14ac:dyDescent="0.3">
      <c r="F5425" s="90"/>
      <c r="G5425" s="90"/>
    </row>
    <row r="5426" spans="6:7" x14ac:dyDescent="0.3">
      <c r="F5426" s="90"/>
      <c r="G5426" s="90"/>
    </row>
    <row r="5427" spans="6:7" x14ac:dyDescent="0.3">
      <c r="F5427" s="90"/>
      <c r="G5427" s="90"/>
    </row>
    <row r="5428" spans="6:7" x14ac:dyDescent="0.3">
      <c r="F5428" s="90"/>
      <c r="G5428" s="90"/>
    </row>
    <row r="5429" spans="6:7" x14ac:dyDescent="0.3">
      <c r="F5429" s="90"/>
      <c r="G5429" s="90"/>
    </row>
    <row r="5430" spans="6:7" x14ac:dyDescent="0.3">
      <c r="F5430" s="90"/>
      <c r="G5430" s="90"/>
    </row>
    <row r="5431" spans="6:7" x14ac:dyDescent="0.3">
      <c r="F5431" s="90"/>
      <c r="G5431" s="90"/>
    </row>
    <row r="5432" spans="6:7" x14ac:dyDescent="0.3">
      <c r="F5432" s="90"/>
      <c r="G5432" s="90"/>
    </row>
    <row r="5433" spans="6:7" x14ac:dyDescent="0.3">
      <c r="F5433" s="90"/>
      <c r="G5433" s="90"/>
    </row>
    <row r="5434" spans="6:7" x14ac:dyDescent="0.3">
      <c r="F5434" s="90"/>
      <c r="G5434" s="90"/>
    </row>
    <row r="5435" spans="6:7" x14ac:dyDescent="0.3">
      <c r="F5435" s="90"/>
      <c r="G5435" s="90"/>
    </row>
    <row r="5436" spans="6:7" x14ac:dyDescent="0.3">
      <c r="F5436" s="90"/>
      <c r="G5436" s="90"/>
    </row>
    <row r="5437" spans="6:7" x14ac:dyDescent="0.3">
      <c r="F5437" s="90"/>
      <c r="G5437" s="90"/>
    </row>
    <row r="5438" spans="6:7" x14ac:dyDescent="0.3">
      <c r="F5438" s="90"/>
      <c r="G5438" s="90"/>
    </row>
    <row r="5439" spans="6:7" x14ac:dyDescent="0.3">
      <c r="F5439" s="90"/>
      <c r="G5439" s="90"/>
    </row>
    <row r="5440" spans="6:7" x14ac:dyDescent="0.3">
      <c r="F5440" s="90"/>
      <c r="G5440" s="90"/>
    </row>
    <row r="5441" spans="6:7" x14ac:dyDescent="0.3">
      <c r="F5441" s="90"/>
      <c r="G5441" s="90"/>
    </row>
    <row r="5442" spans="6:7" x14ac:dyDescent="0.3">
      <c r="F5442" s="90"/>
      <c r="G5442" s="90"/>
    </row>
    <row r="5443" spans="6:7" x14ac:dyDescent="0.3">
      <c r="F5443" s="90"/>
      <c r="G5443" s="90"/>
    </row>
    <row r="5444" spans="6:7" x14ac:dyDescent="0.3">
      <c r="F5444" s="90"/>
      <c r="G5444" s="90"/>
    </row>
    <row r="5445" spans="6:7" x14ac:dyDescent="0.3">
      <c r="F5445" s="90"/>
      <c r="G5445" s="90"/>
    </row>
    <row r="5446" spans="6:7" x14ac:dyDescent="0.3">
      <c r="F5446" s="90"/>
      <c r="G5446" s="90"/>
    </row>
    <row r="5447" spans="6:7" x14ac:dyDescent="0.3">
      <c r="F5447" s="90"/>
      <c r="G5447" s="90"/>
    </row>
    <row r="5448" spans="6:7" x14ac:dyDescent="0.3">
      <c r="F5448" s="90"/>
      <c r="G5448" s="90"/>
    </row>
    <row r="5449" spans="6:7" x14ac:dyDescent="0.3">
      <c r="F5449" s="90"/>
      <c r="G5449" s="90"/>
    </row>
    <row r="5450" spans="6:7" x14ac:dyDescent="0.3">
      <c r="F5450" s="90"/>
      <c r="G5450" s="90"/>
    </row>
    <row r="5451" spans="6:7" x14ac:dyDescent="0.3">
      <c r="F5451" s="90"/>
      <c r="G5451" s="90"/>
    </row>
    <row r="5452" spans="6:7" x14ac:dyDescent="0.3">
      <c r="F5452" s="90"/>
      <c r="G5452" s="90"/>
    </row>
    <row r="5453" spans="6:7" x14ac:dyDescent="0.3">
      <c r="F5453" s="90"/>
      <c r="G5453" s="90"/>
    </row>
    <row r="5454" spans="6:7" x14ac:dyDescent="0.3">
      <c r="F5454" s="90"/>
      <c r="G5454" s="90"/>
    </row>
    <row r="5455" spans="6:7" x14ac:dyDescent="0.3">
      <c r="F5455" s="90"/>
      <c r="G5455" s="90"/>
    </row>
    <row r="5456" spans="6:7" x14ac:dyDescent="0.3">
      <c r="F5456" s="90"/>
      <c r="G5456" s="90"/>
    </row>
    <row r="5457" spans="6:7" x14ac:dyDescent="0.3">
      <c r="F5457" s="90"/>
      <c r="G5457" s="90"/>
    </row>
    <row r="5458" spans="6:7" x14ac:dyDescent="0.3">
      <c r="F5458" s="90"/>
      <c r="G5458" s="90"/>
    </row>
    <row r="5459" spans="6:7" x14ac:dyDescent="0.3">
      <c r="F5459" s="90"/>
      <c r="G5459" s="90"/>
    </row>
    <row r="5460" spans="6:7" x14ac:dyDescent="0.3">
      <c r="F5460" s="90"/>
      <c r="G5460" s="90"/>
    </row>
    <row r="5461" spans="6:7" x14ac:dyDescent="0.3">
      <c r="F5461" s="90"/>
      <c r="G5461" s="90"/>
    </row>
    <row r="5462" spans="6:7" x14ac:dyDescent="0.3">
      <c r="F5462" s="90"/>
      <c r="G5462" s="90"/>
    </row>
    <row r="5463" spans="6:7" x14ac:dyDescent="0.3">
      <c r="F5463" s="90"/>
      <c r="G5463" s="90"/>
    </row>
    <row r="5464" spans="6:7" x14ac:dyDescent="0.3">
      <c r="F5464" s="90"/>
      <c r="G5464" s="90"/>
    </row>
    <row r="5465" spans="6:7" x14ac:dyDescent="0.3">
      <c r="F5465" s="90"/>
      <c r="G5465" s="90"/>
    </row>
    <row r="5466" spans="6:7" x14ac:dyDescent="0.3">
      <c r="F5466" s="90"/>
      <c r="G5466" s="90"/>
    </row>
    <row r="5467" spans="6:7" x14ac:dyDescent="0.3">
      <c r="F5467" s="90"/>
      <c r="G5467" s="90"/>
    </row>
    <row r="5468" spans="6:7" x14ac:dyDescent="0.3">
      <c r="F5468" s="90"/>
      <c r="G5468" s="90"/>
    </row>
    <row r="5469" spans="6:7" x14ac:dyDescent="0.3">
      <c r="F5469" s="90"/>
      <c r="G5469" s="90"/>
    </row>
    <row r="5470" spans="6:7" x14ac:dyDescent="0.3">
      <c r="F5470" s="90"/>
      <c r="G5470" s="90"/>
    </row>
    <row r="5471" spans="6:7" x14ac:dyDescent="0.3">
      <c r="F5471" s="90"/>
      <c r="G5471" s="90"/>
    </row>
    <row r="5472" spans="6:7" x14ac:dyDescent="0.3">
      <c r="F5472" s="90"/>
      <c r="G5472" s="90"/>
    </row>
    <row r="5473" spans="6:7" x14ac:dyDescent="0.3">
      <c r="F5473" s="90"/>
      <c r="G5473" s="90"/>
    </row>
    <row r="5474" spans="6:7" x14ac:dyDescent="0.3">
      <c r="F5474" s="90"/>
      <c r="G5474" s="90"/>
    </row>
    <row r="5475" spans="6:7" x14ac:dyDescent="0.3">
      <c r="F5475" s="90"/>
      <c r="G5475" s="90"/>
    </row>
    <row r="5476" spans="6:7" x14ac:dyDescent="0.3">
      <c r="F5476" s="90"/>
      <c r="G5476" s="90"/>
    </row>
    <row r="5477" spans="6:7" x14ac:dyDescent="0.3">
      <c r="F5477" s="90"/>
      <c r="G5477" s="90"/>
    </row>
    <row r="5478" spans="6:7" x14ac:dyDescent="0.3">
      <c r="F5478" s="90"/>
      <c r="G5478" s="90"/>
    </row>
    <row r="5479" spans="6:7" x14ac:dyDescent="0.3">
      <c r="F5479" s="90"/>
      <c r="G5479" s="90"/>
    </row>
    <row r="5480" spans="6:7" x14ac:dyDescent="0.3">
      <c r="F5480" s="90"/>
      <c r="G5480" s="90"/>
    </row>
    <row r="5481" spans="6:7" x14ac:dyDescent="0.3">
      <c r="F5481" s="90"/>
      <c r="G5481" s="90"/>
    </row>
    <row r="5482" spans="6:7" x14ac:dyDescent="0.3">
      <c r="F5482" s="90"/>
      <c r="G5482" s="90"/>
    </row>
    <row r="5483" spans="6:7" x14ac:dyDescent="0.3">
      <c r="F5483" s="90"/>
      <c r="G5483" s="90"/>
    </row>
    <row r="5484" spans="6:7" x14ac:dyDescent="0.3">
      <c r="F5484" s="90"/>
      <c r="G5484" s="90"/>
    </row>
    <row r="5485" spans="6:7" x14ac:dyDescent="0.3">
      <c r="F5485" s="90"/>
      <c r="G5485" s="90"/>
    </row>
    <row r="5486" spans="6:7" x14ac:dyDescent="0.3">
      <c r="F5486" s="90"/>
      <c r="G5486" s="90"/>
    </row>
    <row r="5487" spans="6:7" x14ac:dyDescent="0.3">
      <c r="F5487" s="90"/>
      <c r="G5487" s="90"/>
    </row>
    <row r="5488" spans="6:7" x14ac:dyDescent="0.3">
      <c r="F5488" s="90"/>
      <c r="G5488" s="90"/>
    </row>
    <row r="5489" spans="6:7" x14ac:dyDescent="0.3">
      <c r="F5489" s="90"/>
      <c r="G5489" s="90"/>
    </row>
    <row r="5490" spans="6:7" x14ac:dyDescent="0.3">
      <c r="F5490" s="90"/>
      <c r="G5490" s="90"/>
    </row>
    <row r="5491" spans="6:7" x14ac:dyDescent="0.3">
      <c r="F5491" s="90"/>
      <c r="G5491" s="90"/>
    </row>
    <row r="5492" spans="6:7" x14ac:dyDescent="0.3">
      <c r="F5492" s="90"/>
      <c r="G5492" s="90"/>
    </row>
    <row r="5493" spans="6:7" x14ac:dyDescent="0.3">
      <c r="F5493" s="90"/>
      <c r="G5493" s="90"/>
    </row>
    <row r="5494" spans="6:7" x14ac:dyDescent="0.3">
      <c r="F5494" s="90"/>
      <c r="G5494" s="90"/>
    </row>
    <row r="5495" spans="6:7" x14ac:dyDescent="0.3">
      <c r="F5495" s="90"/>
      <c r="G5495" s="90"/>
    </row>
    <row r="5496" spans="6:7" x14ac:dyDescent="0.3">
      <c r="F5496" s="90"/>
      <c r="G5496" s="90"/>
    </row>
    <row r="5497" spans="6:7" x14ac:dyDescent="0.3">
      <c r="F5497" s="90"/>
      <c r="G5497" s="90"/>
    </row>
    <row r="5498" spans="6:7" x14ac:dyDescent="0.3">
      <c r="F5498" s="90"/>
      <c r="G5498" s="90"/>
    </row>
    <row r="5499" spans="6:7" x14ac:dyDescent="0.3">
      <c r="F5499" s="90"/>
      <c r="G5499" s="90"/>
    </row>
    <row r="5500" spans="6:7" x14ac:dyDescent="0.3">
      <c r="F5500" s="90"/>
      <c r="G5500" s="90"/>
    </row>
    <row r="5501" spans="6:7" x14ac:dyDescent="0.3">
      <c r="F5501" s="90"/>
      <c r="G5501" s="90"/>
    </row>
    <row r="5502" spans="6:7" x14ac:dyDescent="0.3">
      <c r="F5502" s="90"/>
      <c r="G5502" s="90"/>
    </row>
    <row r="5503" spans="6:7" x14ac:dyDescent="0.3">
      <c r="F5503" s="90"/>
      <c r="G5503" s="90"/>
    </row>
    <row r="5504" spans="6:7" x14ac:dyDescent="0.3">
      <c r="F5504" s="90"/>
      <c r="G5504" s="90"/>
    </row>
    <row r="5505" spans="6:7" x14ac:dyDescent="0.3">
      <c r="F5505" s="90"/>
      <c r="G5505" s="90"/>
    </row>
    <row r="5506" spans="6:7" x14ac:dyDescent="0.3">
      <c r="F5506" s="90"/>
      <c r="G5506" s="90"/>
    </row>
    <row r="5507" spans="6:7" x14ac:dyDescent="0.3">
      <c r="F5507" s="90"/>
      <c r="G5507" s="90"/>
    </row>
    <row r="5508" spans="6:7" x14ac:dyDescent="0.3">
      <c r="F5508" s="90"/>
      <c r="G5508" s="90"/>
    </row>
    <row r="5509" spans="6:7" x14ac:dyDescent="0.3">
      <c r="F5509" s="90"/>
      <c r="G5509" s="90"/>
    </row>
    <row r="5510" spans="6:7" x14ac:dyDescent="0.3">
      <c r="F5510" s="90"/>
      <c r="G5510" s="90"/>
    </row>
    <row r="5511" spans="6:7" x14ac:dyDescent="0.3">
      <c r="F5511" s="90"/>
      <c r="G5511" s="90"/>
    </row>
    <row r="5512" spans="6:7" x14ac:dyDescent="0.3">
      <c r="F5512" s="90"/>
      <c r="G5512" s="90"/>
    </row>
    <row r="5513" spans="6:7" x14ac:dyDescent="0.3">
      <c r="F5513" s="90"/>
      <c r="G5513" s="90"/>
    </row>
    <row r="5514" spans="6:7" x14ac:dyDescent="0.3">
      <c r="F5514" s="90"/>
      <c r="G5514" s="90"/>
    </row>
    <row r="5515" spans="6:7" x14ac:dyDescent="0.3">
      <c r="F5515" s="90"/>
      <c r="G5515" s="90"/>
    </row>
    <row r="5516" spans="6:7" x14ac:dyDescent="0.3">
      <c r="F5516" s="90"/>
      <c r="G5516" s="90"/>
    </row>
    <row r="5517" spans="6:7" x14ac:dyDescent="0.3">
      <c r="F5517" s="90"/>
      <c r="G5517" s="90"/>
    </row>
    <row r="5518" spans="6:7" x14ac:dyDescent="0.3">
      <c r="F5518" s="90"/>
      <c r="G5518" s="90"/>
    </row>
    <row r="5519" spans="6:7" x14ac:dyDescent="0.3">
      <c r="F5519" s="90"/>
      <c r="G5519" s="90"/>
    </row>
    <row r="5520" spans="6:7" x14ac:dyDescent="0.3">
      <c r="F5520" s="90"/>
      <c r="G5520" s="90"/>
    </row>
    <row r="5521" spans="6:7" x14ac:dyDescent="0.3">
      <c r="F5521" s="90"/>
      <c r="G5521" s="90"/>
    </row>
    <row r="5522" spans="6:7" x14ac:dyDescent="0.3">
      <c r="F5522" s="90"/>
      <c r="G5522" s="90"/>
    </row>
    <row r="5523" spans="6:7" x14ac:dyDescent="0.3">
      <c r="F5523" s="90"/>
      <c r="G5523" s="90"/>
    </row>
    <row r="5524" spans="6:7" x14ac:dyDescent="0.3">
      <c r="F5524" s="90"/>
      <c r="G5524" s="90"/>
    </row>
    <row r="5525" spans="6:7" x14ac:dyDescent="0.3">
      <c r="F5525" s="90"/>
      <c r="G5525" s="90"/>
    </row>
    <row r="5526" spans="6:7" x14ac:dyDescent="0.3">
      <c r="F5526" s="90"/>
      <c r="G5526" s="90"/>
    </row>
    <row r="5527" spans="6:7" x14ac:dyDescent="0.3">
      <c r="F5527" s="90"/>
      <c r="G5527" s="90"/>
    </row>
    <row r="5528" spans="6:7" x14ac:dyDescent="0.3">
      <c r="F5528" s="90"/>
      <c r="G5528" s="90"/>
    </row>
    <row r="5529" spans="6:7" x14ac:dyDescent="0.3">
      <c r="F5529" s="90"/>
      <c r="G5529" s="90"/>
    </row>
    <row r="5530" spans="6:7" x14ac:dyDescent="0.3">
      <c r="F5530" s="90"/>
      <c r="G5530" s="90"/>
    </row>
    <row r="5531" spans="6:7" x14ac:dyDescent="0.3">
      <c r="F5531" s="90"/>
      <c r="G5531" s="90"/>
    </row>
    <row r="5532" spans="6:7" x14ac:dyDescent="0.3">
      <c r="F5532" s="90"/>
      <c r="G5532" s="90"/>
    </row>
    <row r="5533" spans="6:7" x14ac:dyDescent="0.3">
      <c r="F5533" s="90"/>
      <c r="G5533" s="90"/>
    </row>
    <row r="5534" spans="6:7" x14ac:dyDescent="0.3">
      <c r="F5534" s="90"/>
      <c r="G5534" s="90"/>
    </row>
    <row r="5535" spans="6:7" x14ac:dyDescent="0.3">
      <c r="F5535" s="90"/>
      <c r="G5535" s="90"/>
    </row>
    <row r="5536" spans="6:7" x14ac:dyDescent="0.3">
      <c r="F5536" s="90"/>
      <c r="G5536" s="90"/>
    </row>
    <row r="5537" spans="6:7" x14ac:dyDescent="0.3">
      <c r="F5537" s="90"/>
      <c r="G5537" s="90"/>
    </row>
    <row r="5538" spans="6:7" x14ac:dyDescent="0.3">
      <c r="F5538" s="90"/>
      <c r="G5538" s="90"/>
    </row>
    <row r="5539" spans="6:7" x14ac:dyDescent="0.3">
      <c r="F5539" s="90"/>
      <c r="G5539" s="90"/>
    </row>
    <row r="5540" spans="6:7" x14ac:dyDescent="0.3">
      <c r="F5540" s="90"/>
      <c r="G5540" s="90"/>
    </row>
    <row r="5541" spans="6:7" x14ac:dyDescent="0.3">
      <c r="F5541" s="90"/>
      <c r="G5541" s="90"/>
    </row>
    <row r="5542" spans="6:7" x14ac:dyDescent="0.3">
      <c r="F5542" s="90"/>
      <c r="G5542" s="90"/>
    </row>
    <row r="5543" spans="6:7" x14ac:dyDescent="0.3">
      <c r="F5543" s="90"/>
      <c r="G5543" s="90"/>
    </row>
    <row r="5544" spans="6:7" x14ac:dyDescent="0.3">
      <c r="F5544" s="90"/>
      <c r="G5544" s="90"/>
    </row>
    <row r="5545" spans="6:7" x14ac:dyDescent="0.3">
      <c r="F5545" s="90"/>
      <c r="G5545" s="90"/>
    </row>
    <row r="5546" spans="6:7" x14ac:dyDescent="0.3">
      <c r="F5546" s="90"/>
      <c r="G5546" s="90"/>
    </row>
    <row r="5547" spans="6:7" x14ac:dyDescent="0.3">
      <c r="F5547" s="90"/>
      <c r="G5547" s="90"/>
    </row>
    <row r="5548" spans="6:7" x14ac:dyDescent="0.3">
      <c r="F5548" s="90"/>
      <c r="G5548" s="90"/>
    </row>
    <row r="5549" spans="6:7" x14ac:dyDescent="0.3">
      <c r="F5549" s="90"/>
      <c r="G5549" s="90"/>
    </row>
    <row r="5550" spans="6:7" x14ac:dyDescent="0.3">
      <c r="F5550" s="90"/>
      <c r="G5550" s="90"/>
    </row>
    <row r="5551" spans="6:7" x14ac:dyDescent="0.3">
      <c r="F5551" s="90"/>
      <c r="G5551" s="90"/>
    </row>
    <row r="5552" spans="6:7" x14ac:dyDescent="0.3">
      <c r="F5552" s="90"/>
      <c r="G5552" s="90"/>
    </row>
    <row r="5553" spans="6:7" x14ac:dyDescent="0.3">
      <c r="F5553" s="90"/>
      <c r="G5553" s="90"/>
    </row>
    <row r="5554" spans="6:7" x14ac:dyDescent="0.3">
      <c r="F5554" s="90"/>
      <c r="G5554" s="90"/>
    </row>
    <row r="5555" spans="6:7" x14ac:dyDescent="0.3">
      <c r="F5555" s="90"/>
      <c r="G5555" s="90"/>
    </row>
    <row r="5556" spans="6:7" x14ac:dyDescent="0.3">
      <c r="F5556" s="90"/>
      <c r="G5556" s="90"/>
    </row>
    <row r="5557" spans="6:7" x14ac:dyDescent="0.3">
      <c r="F5557" s="90"/>
      <c r="G5557" s="90"/>
    </row>
    <row r="5558" spans="6:7" x14ac:dyDescent="0.3">
      <c r="F5558" s="90"/>
      <c r="G5558" s="90"/>
    </row>
    <row r="5559" spans="6:7" x14ac:dyDescent="0.3">
      <c r="F5559" s="90"/>
      <c r="G5559" s="90"/>
    </row>
    <row r="5560" spans="6:7" x14ac:dyDescent="0.3">
      <c r="F5560" s="90"/>
      <c r="G5560" s="90"/>
    </row>
    <row r="5561" spans="6:7" x14ac:dyDescent="0.3">
      <c r="F5561" s="90"/>
      <c r="G5561" s="90"/>
    </row>
    <row r="5562" spans="6:7" x14ac:dyDescent="0.3">
      <c r="F5562" s="90"/>
      <c r="G5562" s="90"/>
    </row>
    <row r="5563" spans="6:7" x14ac:dyDescent="0.3">
      <c r="F5563" s="90"/>
      <c r="G5563" s="90"/>
    </row>
    <row r="5564" spans="6:7" x14ac:dyDescent="0.3">
      <c r="F5564" s="90"/>
      <c r="G5564" s="90"/>
    </row>
    <row r="5565" spans="6:7" x14ac:dyDescent="0.3">
      <c r="F5565" s="90"/>
      <c r="G5565" s="90"/>
    </row>
    <row r="5566" spans="6:7" x14ac:dyDescent="0.3">
      <c r="F5566" s="90"/>
      <c r="G5566" s="90"/>
    </row>
    <row r="5567" spans="6:7" x14ac:dyDescent="0.3">
      <c r="F5567" s="90"/>
      <c r="G5567" s="90"/>
    </row>
    <row r="5568" spans="6:7" x14ac:dyDescent="0.3">
      <c r="F5568" s="90"/>
      <c r="G5568" s="90"/>
    </row>
    <row r="5569" spans="6:7" x14ac:dyDescent="0.3">
      <c r="F5569" s="90"/>
      <c r="G5569" s="90"/>
    </row>
    <row r="5570" spans="6:7" x14ac:dyDescent="0.3">
      <c r="F5570" s="90"/>
      <c r="G5570" s="90"/>
    </row>
    <row r="5571" spans="6:7" x14ac:dyDescent="0.3">
      <c r="F5571" s="90"/>
      <c r="G5571" s="90"/>
    </row>
    <row r="5572" spans="6:7" x14ac:dyDescent="0.3">
      <c r="F5572" s="90"/>
      <c r="G5572" s="90"/>
    </row>
    <row r="5573" spans="6:7" x14ac:dyDescent="0.3">
      <c r="F5573" s="90"/>
      <c r="G5573" s="90"/>
    </row>
    <row r="5574" spans="6:7" x14ac:dyDescent="0.3">
      <c r="F5574" s="90"/>
      <c r="G5574" s="90"/>
    </row>
    <row r="5575" spans="6:7" x14ac:dyDescent="0.3">
      <c r="F5575" s="90"/>
      <c r="G5575" s="90"/>
    </row>
    <row r="5576" spans="6:7" x14ac:dyDescent="0.3">
      <c r="F5576" s="90"/>
      <c r="G5576" s="90"/>
    </row>
    <row r="5577" spans="6:7" x14ac:dyDescent="0.3">
      <c r="F5577" s="90"/>
      <c r="G5577" s="90"/>
    </row>
    <row r="5578" spans="6:7" x14ac:dyDescent="0.3">
      <c r="F5578" s="90"/>
      <c r="G5578" s="90"/>
    </row>
    <row r="5579" spans="6:7" x14ac:dyDescent="0.3">
      <c r="F5579" s="90"/>
      <c r="G5579" s="90"/>
    </row>
    <row r="5580" spans="6:7" x14ac:dyDescent="0.3">
      <c r="F5580" s="90"/>
      <c r="G5580" s="90"/>
    </row>
    <row r="5581" spans="6:7" x14ac:dyDescent="0.3">
      <c r="F5581" s="90"/>
      <c r="G5581" s="90"/>
    </row>
    <row r="5582" spans="6:7" x14ac:dyDescent="0.3">
      <c r="F5582" s="90"/>
      <c r="G5582" s="90"/>
    </row>
    <row r="5583" spans="6:7" x14ac:dyDescent="0.3">
      <c r="F5583" s="90"/>
      <c r="G5583" s="90"/>
    </row>
    <row r="5584" spans="6:7" x14ac:dyDescent="0.3">
      <c r="F5584" s="90"/>
      <c r="G5584" s="90"/>
    </row>
    <row r="5585" spans="6:7" x14ac:dyDescent="0.3">
      <c r="F5585" s="90"/>
      <c r="G5585" s="90"/>
    </row>
    <row r="5586" spans="6:7" x14ac:dyDescent="0.3">
      <c r="F5586" s="90"/>
      <c r="G5586" s="90"/>
    </row>
    <row r="5587" spans="6:7" x14ac:dyDescent="0.3">
      <c r="F5587" s="90"/>
      <c r="G5587" s="90"/>
    </row>
    <row r="5588" spans="6:7" x14ac:dyDescent="0.3">
      <c r="F5588" s="90"/>
      <c r="G5588" s="90"/>
    </row>
    <row r="5589" spans="6:7" x14ac:dyDescent="0.3">
      <c r="F5589" s="90"/>
      <c r="G5589" s="90"/>
    </row>
    <row r="5590" spans="6:7" x14ac:dyDescent="0.3">
      <c r="F5590" s="90"/>
      <c r="G5590" s="90"/>
    </row>
    <row r="5591" spans="6:7" x14ac:dyDescent="0.3">
      <c r="F5591" s="90"/>
      <c r="G5591" s="90"/>
    </row>
    <row r="5592" spans="6:7" x14ac:dyDescent="0.3">
      <c r="F5592" s="90"/>
      <c r="G5592" s="90"/>
    </row>
    <row r="5593" spans="6:7" x14ac:dyDescent="0.3">
      <c r="F5593" s="90"/>
      <c r="G5593" s="90"/>
    </row>
    <row r="5594" spans="6:7" x14ac:dyDescent="0.3">
      <c r="F5594" s="90"/>
      <c r="G5594" s="90"/>
    </row>
    <row r="5595" spans="6:7" x14ac:dyDescent="0.3">
      <c r="F5595" s="90"/>
      <c r="G5595" s="90"/>
    </row>
    <row r="5596" spans="6:7" x14ac:dyDescent="0.3">
      <c r="F5596" s="90"/>
      <c r="G5596" s="90"/>
    </row>
    <row r="5597" spans="6:7" x14ac:dyDescent="0.3">
      <c r="F5597" s="90"/>
      <c r="G5597" s="90"/>
    </row>
    <row r="5598" spans="6:7" x14ac:dyDescent="0.3">
      <c r="F5598" s="90"/>
      <c r="G5598" s="90"/>
    </row>
    <row r="5599" spans="6:7" x14ac:dyDescent="0.3">
      <c r="F5599" s="90"/>
      <c r="G5599" s="90"/>
    </row>
    <row r="5600" spans="6:7" x14ac:dyDescent="0.3">
      <c r="F5600" s="90"/>
      <c r="G5600" s="90"/>
    </row>
    <row r="5601" spans="6:7" x14ac:dyDescent="0.3">
      <c r="F5601" s="90"/>
      <c r="G5601" s="90"/>
    </row>
    <row r="5602" spans="6:7" x14ac:dyDescent="0.3">
      <c r="F5602" s="90"/>
      <c r="G5602" s="90"/>
    </row>
    <row r="5603" spans="6:7" x14ac:dyDescent="0.3">
      <c r="F5603" s="90"/>
      <c r="G5603" s="90"/>
    </row>
    <row r="5604" spans="6:7" x14ac:dyDescent="0.3">
      <c r="F5604" s="90"/>
      <c r="G5604" s="90"/>
    </row>
    <row r="5605" spans="6:7" x14ac:dyDescent="0.3">
      <c r="F5605" s="90"/>
      <c r="G5605" s="90"/>
    </row>
    <row r="5606" spans="6:7" x14ac:dyDescent="0.3">
      <c r="F5606" s="90"/>
      <c r="G5606" s="90"/>
    </row>
    <row r="5607" spans="6:7" x14ac:dyDescent="0.3">
      <c r="F5607" s="90"/>
      <c r="G5607" s="90"/>
    </row>
    <row r="5608" spans="6:7" x14ac:dyDescent="0.3">
      <c r="F5608" s="90"/>
      <c r="G5608" s="90"/>
    </row>
    <row r="5609" spans="6:7" x14ac:dyDescent="0.3">
      <c r="F5609" s="90"/>
      <c r="G5609" s="90"/>
    </row>
    <row r="5610" spans="6:7" x14ac:dyDescent="0.3">
      <c r="F5610" s="90"/>
      <c r="G5610" s="90"/>
    </row>
    <row r="5611" spans="6:7" x14ac:dyDescent="0.3">
      <c r="F5611" s="90"/>
      <c r="G5611" s="90"/>
    </row>
    <row r="5612" spans="6:7" x14ac:dyDescent="0.3">
      <c r="F5612" s="90"/>
      <c r="G5612" s="90"/>
    </row>
    <row r="5613" spans="6:7" x14ac:dyDescent="0.3">
      <c r="F5613" s="90"/>
      <c r="G5613" s="90"/>
    </row>
    <row r="5614" spans="6:7" x14ac:dyDescent="0.3">
      <c r="F5614" s="90"/>
      <c r="G5614" s="90"/>
    </row>
    <row r="5615" spans="6:7" x14ac:dyDescent="0.3">
      <c r="F5615" s="90"/>
      <c r="G5615" s="90"/>
    </row>
    <row r="5616" spans="6:7" x14ac:dyDescent="0.3">
      <c r="F5616" s="90"/>
      <c r="G5616" s="90"/>
    </row>
    <row r="5617" spans="6:7" x14ac:dyDescent="0.3">
      <c r="F5617" s="90"/>
      <c r="G5617" s="90"/>
    </row>
    <row r="5618" spans="6:7" x14ac:dyDescent="0.3">
      <c r="F5618" s="90"/>
      <c r="G5618" s="90"/>
    </row>
    <row r="5619" spans="6:7" x14ac:dyDescent="0.3">
      <c r="F5619" s="90"/>
      <c r="G5619" s="90"/>
    </row>
    <row r="5620" spans="6:7" x14ac:dyDescent="0.3">
      <c r="F5620" s="90"/>
      <c r="G5620" s="90"/>
    </row>
    <row r="5621" spans="6:7" x14ac:dyDescent="0.3">
      <c r="F5621" s="90"/>
      <c r="G5621" s="90"/>
    </row>
    <row r="5622" spans="6:7" x14ac:dyDescent="0.3">
      <c r="F5622" s="90"/>
      <c r="G5622" s="90"/>
    </row>
    <row r="5623" spans="6:7" x14ac:dyDescent="0.3">
      <c r="F5623" s="90"/>
      <c r="G5623" s="90"/>
    </row>
    <row r="5624" spans="6:7" x14ac:dyDescent="0.3">
      <c r="F5624" s="90"/>
      <c r="G5624" s="90"/>
    </row>
    <row r="5625" spans="6:7" x14ac:dyDescent="0.3">
      <c r="F5625" s="90"/>
      <c r="G5625" s="90"/>
    </row>
    <row r="5626" spans="6:7" x14ac:dyDescent="0.3">
      <c r="F5626" s="90"/>
      <c r="G5626" s="90"/>
    </row>
    <row r="5627" spans="6:7" x14ac:dyDescent="0.3">
      <c r="F5627" s="90"/>
      <c r="G5627" s="90"/>
    </row>
    <row r="5628" spans="6:7" x14ac:dyDescent="0.3">
      <c r="F5628" s="90"/>
      <c r="G5628" s="90"/>
    </row>
    <row r="5629" spans="6:7" x14ac:dyDescent="0.3">
      <c r="F5629" s="90"/>
      <c r="G5629" s="90"/>
    </row>
    <row r="5630" spans="6:7" x14ac:dyDescent="0.3">
      <c r="F5630" s="90"/>
      <c r="G5630" s="90"/>
    </row>
    <row r="5631" spans="6:7" x14ac:dyDescent="0.3">
      <c r="F5631" s="90"/>
      <c r="G5631" s="90"/>
    </row>
    <row r="5632" spans="6:7" x14ac:dyDescent="0.3">
      <c r="F5632" s="90"/>
      <c r="G5632" s="90"/>
    </row>
    <row r="5633" spans="6:7" x14ac:dyDescent="0.3">
      <c r="F5633" s="90"/>
      <c r="G5633" s="90"/>
    </row>
    <row r="5634" spans="6:7" x14ac:dyDescent="0.3">
      <c r="F5634" s="90"/>
      <c r="G5634" s="90"/>
    </row>
    <row r="5635" spans="6:7" x14ac:dyDescent="0.3">
      <c r="F5635" s="90"/>
      <c r="G5635" s="90"/>
    </row>
    <row r="5636" spans="6:7" x14ac:dyDescent="0.3">
      <c r="F5636" s="90"/>
      <c r="G5636" s="90"/>
    </row>
    <row r="5637" spans="6:7" x14ac:dyDescent="0.3">
      <c r="F5637" s="90"/>
      <c r="G5637" s="90"/>
    </row>
    <row r="5638" spans="6:7" x14ac:dyDescent="0.3">
      <c r="F5638" s="90"/>
      <c r="G5638" s="90"/>
    </row>
    <row r="5639" spans="6:7" x14ac:dyDescent="0.3">
      <c r="F5639" s="90"/>
      <c r="G5639" s="90"/>
    </row>
    <row r="5640" spans="6:7" x14ac:dyDescent="0.3">
      <c r="F5640" s="90"/>
      <c r="G5640" s="90"/>
    </row>
    <row r="5641" spans="6:7" x14ac:dyDescent="0.3">
      <c r="F5641" s="90"/>
      <c r="G5641" s="90"/>
    </row>
    <row r="5642" spans="6:7" x14ac:dyDescent="0.3">
      <c r="F5642" s="90"/>
      <c r="G5642" s="90"/>
    </row>
    <row r="5643" spans="6:7" x14ac:dyDescent="0.3">
      <c r="F5643" s="90"/>
      <c r="G5643" s="90"/>
    </row>
    <row r="5644" spans="6:7" x14ac:dyDescent="0.3">
      <c r="F5644" s="90"/>
      <c r="G5644" s="90"/>
    </row>
    <row r="5645" spans="6:7" x14ac:dyDescent="0.3">
      <c r="F5645" s="90"/>
      <c r="G5645" s="90"/>
    </row>
    <row r="5646" spans="6:7" x14ac:dyDescent="0.3">
      <c r="F5646" s="90"/>
      <c r="G5646" s="90"/>
    </row>
    <row r="5647" spans="6:7" x14ac:dyDescent="0.3">
      <c r="F5647" s="90"/>
      <c r="G5647" s="90"/>
    </row>
    <row r="5648" spans="6:7" x14ac:dyDescent="0.3">
      <c r="F5648" s="90"/>
      <c r="G5648" s="90"/>
    </row>
    <row r="5649" spans="6:7" x14ac:dyDescent="0.3">
      <c r="F5649" s="90"/>
      <c r="G5649" s="90"/>
    </row>
    <row r="5650" spans="6:7" x14ac:dyDescent="0.3">
      <c r="F5650" s="90"/>
      <c r="G5650" s="90"/>
    </row>
    <row r="5651" spans="6:7" x14ac:dyDescent="0.3">
      <c r="F5651" s="90"/>
      <c r="G5651" s="90"/>
    </row>
    <row r="5652" spans="6:7" x14ac:dyDescent="0.3">
      <c r="F5652" s="90"/>
      <c r="G5652" s="90"/>
    </row>
    <row r="5653" spans="6:7" x14ac:dyDescent="0.3">
      <c r="F5653" s="90"/>
      <c r="G5653" s="90"/>
    </row>
    <row r="5654" spans="6:7" x14ac:dyDescent="0.3">
      <c r="F5654" s="90"/>
      <c r="G5654" s="90"/>
    </row>
    <row r="5655" spans="6:7" x14ac:dyDescent="0.3">
      <c r="F5655" s="90"/>
      <c r="G5655" s="90"/>
    </row>
    <row r="5656" spans="6:7" x14ac:dyDescent="0.3">
      <c r="F5656" s="90"/>
      <c r="G5656" s="90"/>
    </row>
    <row r="5657" spans="6:7" x14ac:dyDescent="0.3">
      <c r="F5657" s="90"/>
      <c r="G5657" s="90"/>
    </row>
    <row r="5658" spans="6:7" x14ac:dyDescent="0.3">
      <c r="F5658" s="90"/>
      <c r="G5658" s="90"/>
    </row>
    <row r="5659" spans="6:7" x14ac:dyDescent="0.3">
      <c r="F5659" s="90"/>
      <c r="G5659" s="90"/>
    </row>
    <row r="5660" spans="6:7" x14ac:dyDescent="0.3">
      <c r="F5660" s="90"/>
      <c r="G5660" s="90"/>
    </row>
    <row r="5661" spans="6:7" x14ac:dyDescent="0.3">
      <c r="F5661" s="90"/>
      <c r="G5661" s="90"/>
    </row>
    <row r="5662" spans="6:7" x14ac:dyDescent="0.3">
      <c r="F5662" s="90"/>
      <c r="G5662" s="90"/>
    </row>
    <row r="5663" spans="6:7" x14ac:dyDescent="0.3">
      <c r="F5663" s="90"/>
      <c r="G5663" s="90"/>
    </row>
    <row r="5664" spans="6:7" x14ac:dyDescent="0.3">
      <c r="F5664" s="90"/>
      <c r="G5664" s="90"/>
    </row>
    <row r="5665" spans="6:7" x14ac:dyDescent="0.3">
      <c r="F5665" s="90"/>
      <c r="G5665" s="90"/>
    </row>
    <row r="5666" spans="6:7" x14ac:dyDescent="0.3">
      <c r="F5666" s="90"/>
      <c r="G5666" s="90"/>
    </row>
    <row r="5667" spans="6:7" x14ac:dyDescent="0.3">
      <c r="F5667" s="90"/>
      <c r="G5667" s="90"/>
    </row>
    <row r="5668" spans="6:7" x14ac:dyDescent="0.3">
      <c r="F5668" s="90"/>
      <c r="G5668" s="90"/>
    </row>
    <row r="5669" spans="6:7" x14ac:dyDescent="0.3">
      <c r="F5669" s="90"/>
      <c r="G5669" s="90"/>
    </row>
    <row r="5670" spans="6:7" x14ac:dyDescent="0.3">
      <c r="F5670" s="90"/>
      <c r="G5670" s="90"/>
    </row>
    <row r="5671" spans="6:7" x14ac:dyDescent="0.3">
      <c r="F5671" s="90"/>
      <c r="G5671" s="90"/>
    </row>
    <row r="5672" spans="6:7" x14ac:dyDescent="0.3">
      <c r="F5672" s="90"/>
      <c r="G5672" s="90"/>
    </row>
    <row r="5673" spans="6:7" x14ac:dyDescent="0.3">
      <c r="F5673" s="90"/>
      <c r="G5673" s="90"/>
    </row>
    <row r="5674" spans="6:7" x14ac:dyDescent="0.3">
      <c r="F5674" s="90"/>
      <c r="G5674" s="90"/>
    </row>
    <row r="5675" spans="6:7" x14ac:dyDescent="0.3">
      <c r="F5675" s="90"/>
      <c r="G5675" s="90"/>
    </row>
    <row r="5676" spans="6:7" x14ac:dyDescent="0.3">
      <c r="F5676" s="90"/>
      <c r="G5676" s="90"/>
    </row>
    <row r="5677" spans="6:7" x14ac:dyDescent="0.3">
      <c r="F5677" s="90"/>
      <c r="G5677" s="90"/>
    </row>
    <row r="5678" spans="6:7" x14ac:dyDescent="0.3">
      <c r="F5678" s="90"/>
      <c r="G5678" s="90"/>
    </row>
    <row r="5679" spans="6:7" x14ac:dyDescent="0.3">
      <c r="F5679" s="90"/>
      <c r="G5679" s="90"/>
    </row>
    <row r="5680" spans="6:7" x14ac:dyDescent="0.3">
      <c r="F5680" s="90"/>
      <c r="G5680" s="90"/>
    </row>
    <row r="5681" spans="6:7" x14ac:dyDescent="0.3">
      <c r="F5681" s="90"/>
      <c r="G5681" s="90"/>
    </row>
    <row r="5682" spans="6:7" x14ac:dyDescent="0.3">
      <c r="F5682" s="90"/>
      <c r="G5682" s="90"/>
    </row>
    <row r="5683" spans="6:7" x14ac:dyDescent="0.3">
      <c r="F5683" s="90"/>
      <c r="G5683" s="90"/>
    </row>
    <row r="5684" spans="6:7" x14ac:dyDescent="0.3">
      <c r="F5684" s="90"/>
      <c r="G5684" s="90"/>
    </row>
    <row r="5685" spans="6:7" x14ac:dyDescent="0.3">
      <c r="F5685" s="90"/>
      <c r="G5685" s="90"/>
    </row>
    <row r="5686" spans="6:7" x14ac:dyDescent="0.3">
      <c r="F5686" s="90"/>
      <c r="G5686" s="90"/>
    </row>
    <row r="5687" spans="6:7" x14ac:dyDescent="0.3">
      <c r="F5687" s="90"/>
      <c r="G5687" s="90"/>
    </row>
    <row r="5688" spans="6:7" x14ac:dyDescent="0.3">
      <c r="F5688" s="90"/>
      <c r="G5688" s="90"/>
    </row>
    <row r="5689" spans="6:7" x14ac:dyDescent="0.3">
      <c r="F5689" s="90"/>
      <c r="G5689" s="90"/>
    </row>
    <row r="5690" spans="6:7" x14ac:dyDescent="0.3">
      <c r="F5690" s="90"/>
      <c r="G5690" s="90"/>
    </row>
    <row r="5691" spans="6:7" x14ac:dyDescent="0.3">
      <c r="F5691" s="90"/>
      <c r="G5691" s="90"/>
    </row>
    <row r="5692" spans="6:7" x14ac:dyDescent="0.3">
      <c r="F5692" s="90"/>
      <c r="G5692" s="90"/>
    </row>
    <row r="5693" spans="6:7" x14ac:dyDescent="0.3">
      <c r="F5693" s="90"/>
      <c r="G5693" s="90"/>
    </row>
    <row r="5694" spans="6:7" x14ac:dyDescent="0.3">
      <c r="F5694" s="90"/>
      <c r="G5694" s="90"/>
    </row>
    <row r="5695" spans="6:7" x14ac:dyDescent="0.3">
      <c r="F5695" s="90"/>
      <c r="G5695" s="90"/>
    </row>
    <row r="5696" spans="6:7" x14ac:dyDescent="0.3">
      <c r="F5696" s="90"/>
      <c r="G5696" s="90"/>
    </row>
    <row r="5697" spans="6:7" x14ac:dyDescent="0.3">
      <c r="F5697" s="90"/>
      <c r="G5697" s="90"/>
    </row>
    <row r="5698" spans="6:7" x14ac:dyDescent="0.3">
      <c r="F5698" s="90"/>
      <c r="G5698" s="90"/>
    </row>
    <row r="5699" spans="6:7" x14ac:dyDescent="0.3">
      <c r="F5699" s="90"/>
      <c r="G5699" s="90"/>
    </row>
    <row r="5700" spans="6:7" x14ac:dyDescent="0.3">
      <c r="F5700" s="90"/>
      <c r="G5700" s="90"/>
    </row>
    <row r="5701" spans="6:7" x14ac:dyDescent="0.3">
      <c r="F5701" s="90"/>
      <c r="G5701" s="90"/>
    </row>
    <row r="5702" spans="6:7" x14ac:dyDescent="0.3">
      <c r="F5702" s="90"/>
      <c r="G5702" s="90"/>
    </row>
    <row r="5703" spans="6:7" x14ac:dyDescent="0.3">
      <c r="F5703" s="90"/>
      <c r="G5703" s="90"/>
    </row>
    <row r="5704" spans="6:7" x14ac:dyDescent="0.3">
      <c r="F5704" s="90"/>
      <c r="G5704" s="90"/>
    </row>
    <row r="5705" spans="6:7" x14ac:dyDescent="0.3">
      <c r="F5705" s="90"/>
      <c r="G5705" s="90"/>
    </row>
    <row r="5706" spans="6:7" x14ac:dyDescent="0.3">
      <c r="F5706" s="90"/>
      <c r="G5706" s="90"/>
    </row>
    <row r="5707" spans="6:7" x14ac:dyDescent="0.3">
      <c r="F5707" s="90"/>
      <c r="G5707" s="90"/>
    </row>
    <row r="5708" spans="6:7" x14ac:dyDescent="0.3">
      <c r="F5708" s="90"/>
      <c r="G5708" s="90"/>
    </row>
    <row r="5709" spans="6:7" x14ac:dyDescent="0.3">
      <c r="F5709" s="90"/>
      <c r="G5709" s="90"/>
    </row>
    <row r="5710" spans="6:7" x14ac:dyDescent="0.3">
      <c r="F5710" s="90"/>
      <c r="G5710" s="90"/>
    </row>
    <row r="5711" spans="6:7" x14ac:dyDescent="0.3">
      <c r="F5711" s="90"/>
      <c r="G5711" s="90"/>
    </row>
    <row r="5712" spans="6:7" x14ac:dyDescent="0.3">
      <c r="F5712" s="90"/>
      <c r="G5712" s="90"/>
    </row>
    <row r="5713" spans="6:7" x14ac:dyDescent="0.3">
      <c r="F5713" s="90"/>
      <c r="G5713" s="90"/>
    </row>
    <row r="5714" spans="6:7" x14ac:dyDescent="0.3">
      <c r="F5714" s="90"/>
      <c r="G5714" s="90"/>
    </row>
    <row r="5715" spans="6:7" x14ac:dyDescent="0.3">
      <c r="F5715" s="90"/>
      <c r="G5715" s="90"/>
    </row>
    <row r="5716" spans="6:7" x14ac:dyDescent="0.3">
      <c r="F5716" s="90"/>
      <c r="G5716" s="90"/>
    </row>
    <row r="5717" spans="6:7" x14ac:dyDescent="0.3">
      <c r="F5717" s="90"/>
      <c r="G5717" s="90"/>
    </row>
    <row r="5718" spans="6:7" x14ac:dyDescent="0.3">
      <c r="F5718" s="90"/>
      <c r="G5718" s="90"/>
    </row>
    <row r="5719" spans="6:7" x14ac:dyDescent="0.3">
      <c r="F5719" s="90"/>
      <c r="G5719" s="90"/>
    </row>
    <row r="5720" spans="6:7" x14ac:dyDescent="0.3">
      <c r="F5720" s="90"/>
      <c r="G5720" s="90"/>
    </row>
    <row r="5721" spans="6:7" x14ac:dyDescent="0.3">
      <c r="F5721" s="90"/>
      <c r="G5721" s="90"/>
    </row>
    <row r="5722" spans="6:7" x14ac:dyDescent="0.3">
      <c r="F5722" s="90"/>
      <c r="G5722" s="90"/>
    </row>
    <row r="5723" spans="6:7" x14ac:dyDescent="0.3">
      <c r="F5723" s="90"/>
      <c r="G5723" s="90"/>
    </row>
    <row r="5724" spans="6:7" x14ac:dyDescent="0.3">
      <c r="F5724" s="90"/>
      <c r="G5724" s="90"/>
    </row>
    <row r="5725" spans="6:7" x14ac:dyDescent="0.3">
      <c r="F5725" s="90"/>
      <c r="G5725" s="90"/>
    </row>
    <row r="5726" spans="6:7" x14ac:dyDescent="0.3">
      <c r="F5726" s="90"/>
      <c r="G5726" s="90"/>
    </row>
    <row r="5727" spans="6:7" x14ac:dyDescent="0.3">
      <c r="F5727" s="90"/>
      <c r="G5727" s="90"/>
    </row>
    <row r="5728" spans="6:7" x14ac:dyDescent="0.3">
      <c r="F5728" s="90"/>
      <c r="G5728" s="90"/>
    </row>
    <row r="5729" spans="6:7" x14ac:dyDescent="0.3">
      <c r="F5729" s="90"/>
      <c r="G5729" s="90"/>
    </row>
    <row r="5730" spans="6:7" x14ac:dyDescent="0.3">
      <c r="F5730" s="90"/>
      <c r="G5730" s="90"/>
    </row>
    <row r="5731" spans="6:7" x14ac:dyDescent="0.3">
      <c r="F5731" s="90"/>
      <c r="G5731" s="90"/>
    </row>
    <row r="5732" spans="6:7" x14ac:dyDescent="0.3">
      <c r="F5732" s="90"/>
      <c r="G5732" s="90"/>
    </row>
    <row r="5733" spans="6:7" x14ac:dyDescent="0.3">
      <c r="F5733" s="90"/>
      <c r="G5733" s="90"/>
    </row>
    <row r="5734" spans="6:7" x14ac:dyDescent="0.3">
      <c r="F5734" s="90"/>
      <c r="G5734" s="90"/>
    </row>
    <row r="5735" spans="6:7" x14ac:dyDescent="0.3">
      <c r="F5735" s="90"/>
      <c r="G5735" s="90"/>
    </row>
    <row r="5736" spans="6:7" x14ac:dyDescent="0.3">
      <c r="F5736" s="90"/>
      <c r="G5736" s="90"/>
    </row>
    <row r="5737" spans="6:7" x14ac:dyDescent="0.3">
      <c r="F5737" s="90"/>
      <c r="G5737" s="90"/>
    </row>
    <row r="5738" spans="6:7" x14ac:dyDescent="0.3">
      <c r="F5738" s="90"/>
      <c r="G5738" s="90"/>
    </row>
    <row r="5739" spans="6:7" x14ac:dyDescent="0.3">
      <c r="F5739" s="90"/>
      <c r="G5739" s="90"/>
    </row>
    <row r="5740" spans="6:7" x14ac:dyDescent="0.3">
      <c r="F5740" s="90"/>
      <c r="G5740" s="90"/>
    </row>
    <row r="5741" spans="6:7" x14ac:dyDescent="0.3">
      <c r="F5741" s="90"/>
      <c r="G5741" s="90"/>
    </row>
    <row r="5742" spans="6:7" x14ac:dyDescent="0.3">
      <c r="F5742" s="90"/>
      <c r="G5742" s="90"/>
    </row>
    <row r="5743" spans="6:7" x14ac:dyDescent="0.3">
      <c r="F5743" s="90"/>
      <c r="G5743" s="90"/>
    </row>
    <row r="5744" spans="6:7" x14ac:dyDescent="0.3">
      <c r="F5744" s="90"/>
      <c r="G5744" s="90"/>
    </row>
    <row r="5745" spans="6:7" x14ac:dyDescent="0.3">
      <c r="F5745" s="90"/>
      <c r="G5745" s="90"/>
    </row>
    <row r="5746" spans="6:7" x14ac:dyDescent="0.3">
      <c r="F5746" s="90"/>
      <c r="G5746" s="90"/>
    </row>
    <row r="5747" spans="6:7" x14ac:dyDescent="0.3">
      <c r="F5747" s="90"/>
      <c r="G5747" s="90"/>
    </row>
    <row r="5748" spans="6:7" x14ac:dyDescent="0.3">
      <c r="F5748" s="90"/>
      <c r="G5748" s="90"/>
    </row>
    <row r="5749" spans="6:7" x14ac:dyDescent="0.3">
      <c r="F5749" s="90"/>
      <c r="G5749" s="90"/>
    </row>
    <row r="5750" spans="6:7" x14ac:dyDescent="0.3">
      <c r="F5750" s="90"/>
      <c r="G5750" s="90"/>
    </row>
    <row r="5751" spans="6:7" x14ac:dyDescent="0.3">
      <c r="F5751" s="90"/>
      <c r="G5751" s="90"/>
    </row>
    <row r="5752" spans="6:7" x14ac:dyDescent="0.3">
      <c r="F5752" s="90"/>
      <c r="G5752" s="90"/>
    </row>
    <row r="5753" spans="6:7" x14ac:dyDescent="0.3">
      <c r="F5753" s="90"/>
      <c r="G5753" s="90"/>
    </row>
    <row r="5754" spans="6:7" x14ac:dyDescent="0.3">
      <c r="F5754" s="90"/>
      <c r="G5754" s="90"/>
    </row>
    <row r="5755" spans="6:7" x14ac:dyDescent="0.3">
      <c r="F5755" s="90"/>
      <c r="G5755" s="90"/>
    </row>
    <row r="5756" spans="6:7" x14ac:dyDescent="0.3">
      <c r="F5756" s="90"/>
      <c r="G5756" s="90"/>
    </row>
    <row r="5757" spans="6:7" x14ac:dyDescent="0.3">
      <c r="F5757" s="90"/>
      <c r="G5757" s="90"/>
    </row>
    <row r="5758" spans="6:7" x14ac:dyDescent="0.3">
      <c r="F5758" s="90"/>
      <c r="G5758" s="90"/>
    </row>
    <row r="5759" spans="6:7" x14ac:dyDescent="0.3">
      <c r="F5759" s="90"/>
      <c r="G5759" s="90"/>
    </row>
    <row r="5760" spans="6:7" x14ac:dyDescent="0.3">
      <c r="F5760" s="90"/>
      <c r="G5760" s="90"/>
    </row>
    <row r="5761" spans="6:7" x14ac:dyDescent="0.3">
      <c r="F5761" s="90"/>
      <c r="G5761" s="90"/>
    </row>
    <row r="5762" spans="6:7" x14ac:dyDescent="0.3">
      <c r="F5762" s="90"/>
      <c r="G5762" s="90"/>
    </row>
    <row r="5763" spans="6:7" x14ac:dyDescent="0.3">
      <c r="F5763" s="90"/>
      <c r="G5763" s="90"/>
    </row>
    <row r="5764" spans="6:7" x14ac:dyDescent="0.3">
      <c r="F5764" s="90"/>
      <c r="G5764" s="90"/>
    </row>
    <row r="5765" spans="6:7" x14ac:dyDescent="0.3">
      <c r="F5765" s="90"/>
      <c r="G5765" s="90"/>
    </row>
    <row r="5766" spans="6:7" x14ac:dyDescent="0.3">
      <c r="F5766" s="90"/>
      <c r="G5766" s="90"/>
    </row>
    <row r="5767" spans="6:7" x14ac:dyDescent="0.3">
      <c r="F5767" s="90"/>
      <c r="G5767" s="90"/>
    </row>
    <row r="5768" spans="6:7" x14ac:dyDescent="0.3">
      <c r="F5768" s="90"/>
      <c r="G5768" s="90"/>
    </row>
    <row r="5769" spans="6:7" x14ac:dyDescent="0.3">
      <c r="F5769" s="90"/>
      <c r="G5769" s="90"/>
    </row>
    <row r="5770" spans="6:7" x14ac:dyDescent="0.3">
      <c r="F5770" s="90"/>
      <c r="G5770" s="90"/>
    </row>
    <row r="5771" spans="6:7" x14ac:dyDescent="0.3">
      <c r="F5771" s="90"/>
      <c r="G5771" s="90"/>
    </row>
    <row r="5772" spans="6:7" x14ac:dyDescent="0.3">
      <c r="F5772" s="90"/>
      <c r="G5772" s="90"/>
    </row>
    <row r="5773" spans="6:7" x14ac:dyDescent="0.3">
      <c r="F5773" s="90"/>
      <c r="G5773" s="90"/>
    </row>
    <row r="5774" spans="6:7" x14ac:dyDescent="0.3">
      <c r="F5774" s="90"/>
      <c r="G5774" s="90"/>
    </row>
    <row r="5775" spans="6:7" x14ac:dyDescent="0.3">
      <c r="F5775" s="90"/>
      <c r="G5775" s="90"/>
    </row>
    <row r="5776" spans="6:7" x14ac:dyDescent="0.3">
      <c r="F5776" s="90"/>
      <c r="G5776" s="90"/>
    </row>
    <row r="5777" spans="6:7" x14ac:dyDescent="0.3">
      <c r="F5777" s="90"/>
      <c r="G5777" s="90"/>
    </row>
    <row r="5778" spans="6:7" x14ac:dyDescent="0.3">
      <c r="F5778" s="90"/>
      <c r="G5778" s="90"/>
    </row>
    <row r="5779" spans="6:7" x14ac:dyDescent="0.3">
      <c r="F5779" s="90"/>
      <c r="G5779" s="90"/>
    </row>
    <row r="5780" spans="6:7" x14ac:dyDescent="0.3">
      <c r="F5780" s="90"/>
      <c r="G5780" s="90"/>
    </row>
    <row r="5781" spans="6:7" x14ac:dyDescent="0.3">
      <c r="F5781" s="90"/>
      <c r="G5781" s="90"/>
    </row>
    <row r="5782" spans="6:7" x14ac:dyDescent="0.3">
      <c r="F5782" s="90"/>
      <c r="G5782" s="90"/>
    </row>
    <row r="5783" spans="6:7" x14ac:dyDescent="0.3">
      <c r="F5783" s="90"/>
      <c r="G5783" s="90"/>
    </row>
    <row r="5784" spans="6:7" x14ac:dyDescent="0.3">
      <c r="F5784" s="90"/>
      <c r="G5784" s="90"/>
    </row>
    <row r="5785" spans="6:7" x14ac:dyDescent="0.3">
      <c r="F5785" s="90"/>
      <c r="G5785" s="90"/>
    </row>
    <row r="5786" spans="6:7" x14ac:dyDescent="0.3">
      <c r="F5786" s="90"/>
      <c r="G5786" s="90"/>
    </row>
    <row r="5787" spans="6:7" x14ac:dyDescent="0.3">
      <c r="F5787" s="90"/>
      <c r="G5787" s="90"/>
    </row>
    <row r="5788" spans="6:7" x14ac:dyDescent="0.3">
      <c r="F5788" s="90"/>
      <c r="G5788" s="90"/>
    </row>
    <row r="5789" spans="6:7" x14ac:dyDescent="0.3">
      <c r="F5789" s="90"/>
      <c r="G5789" s="90"/>
    </row>
    <row r="5790" spans="6:7" x14ac:dyDescent="0.3">
      <c r="F5790" s="90"/>
      <c r="G5790" s="90"/>
    </row>
    <row r="5791" spans="6:7" x14ac:dyDescent="0.3">
      <c r="F5791" s="90"/>
      <c r="G5791" s="90"/>
    </row>
    <row r="5792" spans="6:7" x14ac:dyDescent="0.3">
      <c r="F5792" s="90"/>
      <c r="G5792" s="90"/>
    </row>
    <row r="5793" spans="6:7" x14ac:dyDescent="0.3">
      <c r="F5793" s="90"/>
      <c r="G5793" s="90"/>
    </row>
    <row r="5794" spans="6:7" x14ac:dyDescent="0.3">
      <c r="F5794" s="90"/>
      <c r="G5794" s="90"/>
    </row>
    <row r="5795" spans="6:7" x14ac:dyDescent="0.3">
      <c r="F5795" s="90"/>
      <c r="G5795" s="90"/>
    </row>
    <row r="5796" spans="6:7" x14ac:dyDescent="0.3">
      <c r="F5796" s="90"/>
      <c r="G5796" s="90"/>
    </row>
    <row r="5797" spans="6:7" x14ac:dyDescent="0.3">
      <c r="F5797" s="90"/>
      <c r="G5797" s="90"/>
    </row>
    <row r="5798" spans="6:7" x14ac:dyDescent="0.3">
      <c r="F5798" s="90"/>
      <c r="G5798" s="90"/>
    </row>
    <row r="5799" spans="6:7" x14ac:dyDescent="0.3">
      <c r="F5799" s="90"/>
      <c r="G5799" s="90"/>
    </row>
    <row r="5800" spans="6:7" x14ac:dyDescent="0.3">
      <c r="F5800" s="90"/>
      <c r="G5800" s="90"/>
    </row>
    <row r="5801" spans="6:7" x14ac:dyDescent="0.3">
      <c r="F5801" s="90"/>
      <c r="G5801" s="90"/>
    </row>
    <row r="5802" spans="6:7" x14ac:dyDescent="0.3">
      <c r="F5802" s="90"/>
      <c r="G5802" s="90"/>
    </row>
    <row r="5803" spans="6:7" x14ac:dyDescent="0.3">
      <c r="F5803" s="90"/>
      <c r="G5803" s="90"/>
    </row>
    <row r="5804" spans="6:7" x14ac:dyDescent="0.3">
      <c r="F5804" s="90"/>
      <c r="G5804" s="90"/>
    </row>
    <row r="5805" spans="6:7" x14ac:dyDescent="0.3">
      <c r="F5805" s="90"/>
      <c r="G5805" s="90"/>
    </row>
    <row r="5806" spans="6:7" x14ac:dyDescent="0.3">
      <c r="F5806" s="90"/>
      <c r="G5806" s="90"/>
    </row>
    <row r="5807" spans="6:7" x14ac:dyDescent="0.3">
      <c r="F5807" s="90"/>
      <c r="G5807" s="90"/>
    </row>
    <row r="5808" spans="6:7" x14ac:dyDescent="0.3">
      <c r="F5808" s="90"/>
      <c r="G5808" s="90"/>
    </row>
    <row r="5809" spans="6:7" x14ac:dyDescent="0.3">
      <c r="F5809" s="90"/>
      <c r="G5809" s="90"/>
    </row>
    <row r="5810" spans="6:7" x14ac:dyDescent="0.3">
      <c r="F5810" s="90"/>
      <c r="G5810" s="90"/>
    </row>
    <row r="5811" spans="6:7" x14ac:dyDescent="0.3">
      <c r="F5811" s="90"/>
      <c r="G5811" s="90"/>
    </row>
    <row r="5812" spans="6:7" x14ac:dyDescent="0.3">
      <c r="F5812" s="90"/>
      <c r="G5812" s="90"/>
    </row>
    <row r="5813" spans="6:7" x14ac:dyDescent="0.3">
      <c r="F5813" s="90"/>
      <c r="G5813" s="90"/>
    </row>
    <row r="5814" spans="6:7" x14ac:dyDescent="0.3">
      <c r="F5814" s="90"/>
      <c r="G5814" s="90"/>
    </row>
    <row r="5815" spans="6:7" x14ac:dyDescent="0.3">
      <c r="F5815" s="90"/>
      <c r="G5815" s="90"/>
    </row>
    <row r="5816" spans="6:7" x14ac:dyDescent="0.3">
      <c r="F5816" s="90"/>
      <c r="G5816" s="90"/>
    </row>
    <row r="5817" spans="6:7" x14ac:dyDescent="0.3">
      <c r="F5817" s="90"/>
      <c r="G5817" s="90"/>
    </row>
    <row r="5818" spans="6:7" x14ac:dyDescent="0.3">
      <c r="F5818" s="90"/>
      <c r="G5818" s="90"/>
    </row>
    <row r="5819" spans="6:7" x14ac:dyDescent="0.3">
      <c r="F5819" s="90"/>
      <c r="G5819" s="90"/>
    </row>
    <row r="5820" spans="6:7" x14ac:dyDescent="0.3">
      <c r="F5820" s="90"/>
      <c r="G5820" s="90"/>
    </row>
    <row r="5821" spans="6:7" x14ac:dyDescent="0.3">
      <c r="F5821" s="90"/>
      <c r="G5821" s="90"/>
    </row>
    <row r="5822" spans="6:7" x14ac:dyDescent="0.3">
      <c r="F5822" s="90"/>
      <c r="G5822" s="90"/>
    </row>
    <row r="5823" spans="6:7" x14ac:dyDescent="0.3">
      <c r="F5823" s="90"/>
      <c r="G5823" s="90"/>
    </row>
    <row r="5824" spans="6:7" x14ac:dyDescent="0.3">
      <c r="F5824" s="90"/>
      <c r="G5824" s="90"/>
    </row>
    <row r="5825" spans="6:7" x14ac:dyDescent="0.3">
      <c r="F5825" s="90"/>
      <c r="G5825" s="90"/>
    </row>
    <row r="5826" spans="6:7" x14ac:dyDescent="0.3">
      <c r="F5826" s="90"/>
      <c r="G5826" s="90"/>
    </row>
    <row r="5827" spans="6:7" x14ac:dyDescent="0.3">
      <c r="F5827" s="90"/>
      <c r="G5827" s="90"/>
    </row>
    <row r="5828" spans="6:7" x14ac:dyDescent="0.3">
      <c r="F5828" s="90"/>
      <c r="G5828" s="90"/>
    </row>
    <row r="5829" spans="6:7" x14ac:dyDescent="0.3">
      <c r="F5829" s="90"/>
      <c r="G5829" s="90"/>
    </row>
    <row r="5830" spans="6:7" x14ac:dyDescent="0.3">
      <c r="F5830" s="90"/>
      <c r="G5830" s="90"/>
    </row>
    <row r="5831" spans="6:7" x14ac:dyDescent="0.3">
      <c r="F5831" s="90"/>
      <c r="G5831" s="90"/>
    </row>
    <row r="5832" spans="6:7" x14ac:dyDescent="0.3">
      <c r="F5832" s="90"/>
      <c r="G5832" s="90"/>
    </row>
    <row r="5833" spans="6:7" x14ac:dyDescent="0.3">
      <c r="F5833" s="90"/>
      <c r="G5833" s="90"/>
    </row>
    <row r="5834" spans="6:7" x14ac:dyDescent="0.3">
      <c r="F5834" s="90"/>
      <c r="G5834" s="90"/>
    </row>
    <row r="5835" spans="6:7" x14ac:dyDescent="0.3">
      <c r="F5835" s="90"/>
      <c r="G5835" s="90"/>
    </row>
    <row r="5836" spans="6:7" x14ac:dyDescent="0.3">
      <c r="F5836" s="90"/>
      <c r="G5836" s="90"/>
    </row>
    <row r="5837" spans="6:7" x14ac:dyDescent="0.3">
      <c r="F5837" s="90"/>
      <c r="G5837" s="90"/>
    </row>
    <row r="5838" spans="6:7" x14ac:dyDescent="0.3">
      <c r="F5838" s="90"/>
      <c r="G5838" s="90"/>
    </row>
    <row r="5839" spans="6:7" x14ac:dyDescent="0.3">
      <c r="F5839" s="90"/>
      <c r="G5839" s="90"/>
    </row>
    <row r="5840" spans="6:7" x14ac:dyDescent="0.3">
      <c r="F5840" s="90"/>
      <c r="G5840" s="90"/>
    </row>
    <row r="5841" spans="6:7" x14ac:dyDescent="0.3">
      <c r="F5841" s="90"/>
      <c r="G5841" s="90"/>
    </row>
    <row r="5842" spans="6:7" x14ac:dyDescent="0.3">
      <c r="F5842" s="90"/>
      <c r="G5842" s="90"/>
    </row>
    <row r="5843" spans="6:7" x14ac:dyDescent="0.3">
      <c r="F5843" s="90"/>
      <c r="G5843" s="90"/>
    </row>
    <row r="5844" spans="6:7" x14ac:dyDescent="0.3">
      <c r="F5844" s="90"/>
      <c r="G5844" s="90"/>
    </row>
    <row r="5845" spans="6:7" x14ac:dyDescent="0.3">
      <c r="F5845" s="90"/>
      <c r="G5845" s="90"/>
    </row>
    <row r="5846" spans="6:7" x14ac:dyDescent="0.3">
      <c r="F5846" s="90"/>
      <c r="G5846" s="90"/>
    </row>
    <row r="5847" spans="6:7" x14ac:dyDescent="0.3">
      <c r="F5847" s="90"/>
      <c r="G5847" s="90"/>
    </row>
    <row r="5848" spans="6:7" x14ac:dyDescent="0.3">
      <c r="F5848" s="90"/>
      <c r="G5848" s="90"/>
    </row>
    <row r="5849" spans="6:7" x14ac:dyDescent="0.3">
      <c r="F5849" s="90"/>
      <c r="G5849" s="90"/>
    </row>
    <row r="5850" spans="6:7" x14ac:dyDescent="0.3">
      <c r="F5850" s="90"/>
      <c r="G5850" s="90"/>
    </row>
    <row r="5851" spans="6:7" x14ac:dyDescent="0.3">
      <c r="F5851" s="90"/>
      <c r="G5851" s="90"/>
    </row>
    <row r="5852" spans="6:7" x14ac:dyDescent="0.3">
      <c r="F5852" s="90"/>
      <c r="G5852" s="90"/>
    </row>
    <row r="5853" spans="6:7" x14ac:dyDescent="0.3">
      <c r="F5853" s="90"/>
      <c r="G5853" s="90"/>
    </row>
    <row r="5854" spans="6:7" x14ac:dyDescent="0.3">
      <c r="F5854" s="90"/>
      <c r="G5854" s="90"/>
    </row>
    <row r="5855" spans="6:7" x14ac:dyDescent="0.3">
      <c r="F5855" s="90"/>
      <c r="G5855" s="90"/>
    </row>
    <row r="5856" spans="6:7" x14ac:dyDescent="0.3">
      <c r="F5856" s="90"/>
      <c r="G5856" s="90"/>
    </row>
    <row r="5857" spans="6:7" x14ac:dyDescent="0.3">
      <c r="F5857" s="90"/>
      <c r="G5857" s="90"/>
    </row>
    <row r="5858" spans="6:7" x14ac:dyDescent="0.3">
      <c r="F5858" s="90"/>
      <c r="G5858" s="90"/>
    </row>
    <row r="5859" spans="6:7" x14ac:dyDescent="0.3">
      <c r="F5859" s="90"/>
      <c r="G5859" s="90"/>
    </row>
    <row r="5860" spans="6:7" x14ac:dyDescent="0.3">
      <c r="F5860" s="90"/>
      <c r="G5860" s="90"/>
    </row>
    <row r="5861" spans="6:7" x14ac:dyDescent="0.3">
      <c r="F5861" s="90"/>
      <c r="G5861" s="90"/>
    </row>
    <row r="5862" spans="6:7" x14ac:dyDescent="0.3">
      <c r="F5862" s="90"/>
      <c r="G5862" s="90"/>
    </row>
    <row r="5863" spans="6:7" x14ac:dyDescent="0.3">
      <c r="F5863" s="90"/>
      <c r="G5863" s="90"/>
    </row>
    <row r="5864" spans="6:7" x14ac:dyDescent="0.3">
      <c r="F5864" s="90"/>
      <c r="G5864" s="90"/>
    </row>
    <row r="5865" spans="6:7" x14ac:dyDescent="0.3">
      <c r="F5865" s="90"/>
      <c r="G5865" s="90"/>
    </row>
    <row r="5866" spans="6:7" x14ac:dyDescent="0.3">
      <c r="F5866" s="90"/>
      <c r="G5866" s="90"/>
    </row>
    <row r="5867" spans="6:7" x14ac:dyDescent="0.3">
      <c r="F5867" s="90"/>
      <c r="G5867" s="90"/>
    </row>
    <row r="5868" spans="6:7" x14ac:dyDescent="0.3">
      <c r="F5868" s="90"/>
      <c r="G5868" s="90"/>
    </row>
    <row r="5869" spans="6:7" x14ac:dyDescent="0.3">
      <c r="F5869" s="90"/>
      <c r="G5869" s="90"/>
    </row>
    <row r="5870" spans="6:7" x14ac:dyDescent="0.3">
      <c r="F5870" s="90"/>
      <c r="G5870" s="90"/>
    </row>
    <row r="5871" spans="6:7" x14ac:dyDescent="0.3">
      <c r="F5871" s="90"/>
      <c r="G5871" s="90"/>
    </row>
    <row r="5872" spans="6:7" x14ac:dyDescent="0.3">
      <c r="F5872" s="90"/>
      <c r="G5872" s="90"/>
    </row>
    <row r="5873" spans="6:7" x14ac:dyDescent="0.3">
      <c r="F5873" s="90"/>
      <c r="G5873" s="90"/>
    </row>
    <row r="5874" spans="6:7" x14ac:dyDescent="0.3">
      <c r="F5874" s="90"/>
      <c r="G5874" s="90"/>
    </row>
    <row r="5875" spans="6:7" x14ac:dyDescent="0.3">
      <c r="F5875" s="90"/>
      <c r="G5875" s="90"/>
    </row>
    <row r="5876" spans="6:7" x14ac:dyDescent="0.3">
      <c r="F5876" s="90"/>
      <c r="G5876" s="90"/>
    </row>
    <row r="5877" spans="6:7" x14ac:dyDescent="0.3">
      <c r="F5877" s="90"/>
      <c r="G5877" s="90"/>
    </row>
    <row r="5878" spans="6:7" x14ac:dyDescent="0.3">
      <c r="F5878" s="90"/>
      <c r="G5878" s="90"/>
    </row>
    <row r="5879" spans="6:7" x14ac:dyDescent="0.3">
      <c r="F5879" s="90"/>
      <c r="G5879" s="90"/>
    </row>
    <row r="5880" spans="6:7" x14ac:dyDescent="0.3">
      <c r="F5880" s="90"/>
      <c r="G5880" s="90"/>
    </row>
    <row r="5881" spans="6:7" x14ac:dyDescent="0.3">
      <c r="F5881" s="90"/>
      <c r="G5881" s="90"/>
    </row>
    <row r="5882" spans="6:7" x14ac:dyDescent="0.3">
      <c r="F5882" s="90"/>
      <c r="G5882" s="90"/>
    </row>
    <row r="5883" spans="6:7" x14ac:dyDescent="0.3">
      <c r="F5883" s="90"/>
      <c r="G5883" s="90"/>
    </row>
    <row r="5884" spans="6:7" x14ac:dyDescent="0.3">
      <c r="F5884" s="90"/>
      <c r="G5884" s="90"/>
    </row>
    <row r="5885" spans="6:7" x14ac:dyDescent="0.3">
      <c r="F5885" s="90"/>
      <c r="G5885" s="90"/>
    </row>
    <row r="5886" spans="6:7" x14ac:dyDescent="0.3">
      <c r="F5886" s="90"/>
      <c r="G5886" s="90"/>
    </row>
    <row r="5887" spans="6:7" x14ac:dyDescent="0.3">
      <c r="F5887" s="90"/>
      <c r="G5887" s="90"/>
    </row>
    <row r="5888" spans="6:7" x14ac:dyDescent="0.3">
      <c r="F5888" s="90"/>
      <c r="G5888" s="90"/>
    </row>
    <row r="5889" spans="6:7" x14ac:dyDescent="0.3">
      <c r="F5889" s="90"/>
      <c r="G5889" s="90"/>
    </row>
    <row r="5890" spans="6:7" x14ac:dyDescent="0.3">
      <c r="F5890" s="90"/>
      <c r="G5890" s="90"/>
    </row>
    <row r="5891" spans="6:7" x14ac:dyDescent="0.3">
      <c r="F5891" s="90"/>
      <c r="G5891" s="90"/>
    </row>
    <row r="5892" spans="6:7" x14ac:dyDescent="0.3">
      <c r="F5892" s="90"/>
      <c r="G5892" s="90"/>
    </row>
    <row r="5893" spans="6:7" x14ac:dyDescent="0.3">
      <c r="F5893" s="90"/>
      <c r="G5893" s="90"/>
    </row>
    <row r="5894" spans="6:7" x14ac:dyDescent="0.3">
      <c r="F5894" s="90"/>
      <c r="G5894" s="90"/>
    </row>
    <row r="5895" spans="6:7" x14ac:dyDescent="0.3">
      <c r="F5895" s="90"/>
      <c r="G5895" s="90"/>
    </row>
    <row r="5896" spans="6:7" x14ac:dyDescent="0.3">
      <c r="F5896" s="90"/>
      <c r="G5896" s="90"/>
    </row>
    <row r="5897" spans="6:7" x14ac:dyDescent="0.3">
      <c r="F5897" s="90"/>
      <c r="G5897" s="90"/>
    </row>
    <row r="5898" spans="6:7" x14ac:dyDescent="0.3">
      <c r="F5898" s="90"/>
      <c r="G5898" s="90"/>
    </row>
    <row r="5899" spans="6:7" x14ac:dyDescent="0.3">
      <c r="F5899" s="90"/>
      <c r="G5899" s="90"/>
    </row>
    <row r="5900" spans="6:7" x14ac:dyDescent="0.3">
      <c r="F5900" s="90"/>
      <c r="G5900" s="90"/>
    </row>
    <row r="5901" spans="6:7" x14ac:dyDescent="0.3">
      <c r="F5901" s="90"/>
      <c r="G5901" s="90"/>
    </row>
    <row r="5902" spans="6:7" x14ac:dyDescent="0.3">
      <c r="F5902" s="90"/>
      <c r="G5902" s="90"/>
    </row>
    <row r="5903" spans="6:7" x14ac:dyDescent="0.3">
      <c r="F5903" s="90"/>
      <c r="G5903" s="90"/>
    </row>
    <row r="5904" spans="6:7" x14ac:dyDescent="0.3">
      <c r="F5904" s="90"/>
      <c r="G5904" s="90"/>
    </row>
    <row r="5905" spans="6:7" x14ac:dyDescent="0.3">
      <c r="F5905" s="90"/>
      <c r="G5905" s="90"/>
    </row>
    <row r="5906" spans="6:7" x14ac:dyDescent="0.3">
      <c r="F5906" s="90"/>
      <c r="G5906" s="90"/>
    </row>
    <row r="5907" spans="6:7" x14ac:dyDescent="0.3">
      <c r="F5907" s="90"/>
      <c r="G5907" s="90"/>
    </row>
    <row r="5908" spans="6:7" x14ac:dyDescent="0.3">
      <c r="F5908" s="90"/>
      <c r="G5908" s="90"/>
    </row>
    <row r="5909" spans="6:7" x14ac:dyDescent="0.3">
      <c r="F5909" s="90"/>
      <c r="G5909" s="90"/>
    </row>
    <row r="5910" spans="6:7" x14ac:dyDescent="0.3">
      <c r="F5910" s="90"/>
      <c r="G5910" s="90"/>
    </row>
    <row r="5911" spans="6:7" x14ac:dyDescent="0.3">
      <c r="F5911" s="90"/>
      <c r="G5911" s="90"/>
    </row>
    <row r="5912" spans="6:7" x14ac:dyDescent="0.3">
      <c r="F5912" s="90"/>
      <c r="G5912" s="90"/>
    </row>
    <row r="5913" spans="6:7" x14ac:dyDescent="0.3">
      <c r="F5913" s="90"/>
      <c r="G5913" s="90"/>
    </row>
    <row r="5914" spans="6:7" x14ac:dyDescent="0.3">
      <c r="F5914" s="90"/>
      <c r="G5914" s="90"/>
    </row>
    <row r="5915" spans="6:7" x14ac:dyDescent="0.3">
      <c r="F5915" s="90"/>
      <c r="G5915" s="90"/>
    </row>
    <row r="5916" spans="6:7" x14ac:dyDescent="0.3">
      <c r="F5916" s="90"/>
      <c r="G5916" s="90"/>
    </row>
    <row r="5917" spans="6:7" x14ac:dyDescent="0.3">
      <c r="F5917" s="90"/>
      <c r="G5917" s="90"/>
    </row>
    <row r="5918" spans="6:7" x14ac:dyDescent="0.3">
      <c r="F5918" s="90"/>
      <c r="G5918" s="90"/>
    </row>
    <row r="5919" spans="6:7" x14ac:dyDescent="0.3">
      <c r="F5919" s="90"/>
      <c r="G5919" s="90"/>
    </row>
    <row r="5920" spans="6:7" x14ac:dyDescent="0.3">
      <c r="F5920" s="90"/>
      <c r="G5920" s="90"/>
    </row>
    <row r="5921" spans="6:7" x14ac:dyDescent="0.3">
      <c r="F5921" s="90"/>
      <c r="G5921" s="90"/>
    </row>
    <row r="5922" spans="6:7" x14ac:dyDescent="0.3">
      <c r="F5922" s="90"/>
      <c r="G5922" s="90"/>
    </row>
    <row r="5923" spans="6:7" x14ac:dyDescent="0.3">
      <c r="F5923" s="90"/>
      <c r="G5923" s="90"/>
    </row>
    <row r="5924" spans="6:7" x14ac:dyDescent="0.3">
      <c r="F5924" s="90"/>
      <c r="G5924" s="90"/>
    </row>
    <row r="5925" spans="6:7" x14ac:dyDescent="0.3">
      <c r="F5925" s="90"/>
      <c r="G5925" s="90"/>
    </row>
    <row r="5926" spans="6:7" x14ac:dyDescent="0.3">
      <c r="F5926" s="90"/>
      <c r="G5926" s="90"/>
    </row>
    <row r="5927" spans="6:7" x14ac:dyDescent="0.3">
      <c r="F5927" s="90"/>
      <c r="G5927" s="90"/>
    </row>
    <row r="5928" spans="6:7" x14ac:dyDescent="0.3">
      <c r="F5928" s="90"/>
      <c r="G5928" s="90"/>
    </row>
    <row r="5929" spans="6:7" x14ac:dyDescent="0.3">
      <c r="F5929" s="90"/>
      <c r="G5929" s="90"/>
    </row>
    <row r="5930" spans="6:7" x14ac:dyDescent="0.3">
      <c r="F5930" s="90"/>
      <c r="G5930" s="90"/>
    </row>
    <row r="5931" spans="6:7" x14ac:dyDescent="0.3">
      <c r="F5931" s="90"/>
      <c r="G5931" s="90"/>
    </row>
    <row r="5932" spans="6:7" x14ac:dyDescent="0.3">
      <c r="F5932" s="90"/>
      <c r="G5932" s="90"/>
    </row>
    <row r="5933" spans="6:7" x14ac:dyDescent="0.3">
      <c r="F5933" s="90"/>
      <c r="G5933" s="90"/>
    </row>
    <row r="5934" spans="6:7" x14ac:dyDescent="0.3">
      <c r="F5934" s="90"/>
      <c r="G5934" s="90"/>
    </row>
    <row r="5935" spans="6:7" x14ac:dyDescent="0.3">
      <c r="F5935" s="90"/>
      <c r="G5935" s="90"/>
    </row>
    <row r="5936" spans="6:7" x14ac:dyDescent="0.3">
      <c r="F5936" s="90"/>
      <c r="G5936" s="90"/>
    </row>
    <row r="5937" spans="6:7" x14ac:dyDescent="0.3">
      <c r="F5937" s="90"/>
      <c r="G5937" s="90"/>
    </row>
    <row r="5938" spans="6:7" x14ac:dyDescent="0.3">
      <c r="F5938" s="90"/>
      <c r="G5938" s="90"/>
    </row>
    <row r="5939" spans="6:7" x14ac:dyDescent="0.3">
      <c r="F5939" s="90"/>
      <c r="G5939" s="90"/>
    </row>
    <row r="5940" spans="6:7" x14ac:dyDescent="0.3">
      <c r="F5940" s="90"/>
      <c r="G5940" s="90"/>
    </row>
    <row r="5941" spans="6:7" x14ac:dyDescent="0.3">
      <c r="F5941" s="90"/>
      <c r="G5941" s="90"/>
    </row>
    <row r="5942" spans="6:7" x14ac:dyDescent="0.3">
      <c r="F5942" s="90"/>
      <c r="G5942" s="90"/>
    </row>
    <row r="5943" spans="6:7" x14ac:dyDescent="0.3">
      <c r="F5943" s="90"/>
      <c r="G5943" s="90"/>
    </row>
    <row r="5944" spans="6:7" x14ac:dyDescent="0.3">
      <c r="F5944" s="90"/>
      <c r="G5944" s="90"/>
    </row>
    <row r="5945" spans="6:7" x14ac:dyDescent="0.3">
      <c r="F5945" s="90"/>
      <c r="G5945" s="90"/>
    </row>
    <row r="5946" spans="6:7" x14ac:dyDescent="0.3">
      <c r="F5946" s="90"/>
      <c r="G5946" s="90"/>
    </row>
    <row r="5947" spans="6:7" x14ac:dyDescent="0.3">
      <c r="F5947" s="90"/>
      <c r="G5947" s="90"/>
    </row>
    <row r="5948" spans="6:7" x14ac:dyDescent="0.3">
      <c r="F5948" s="90"/>
      <c r="G5948" s="90"/>
    </row>
    <row r="5949" spans="6:7" x14ac:dyDescent="0.3">
      <c r="F5949" s="90"/>
      <c r="G5949" s="90"/>
    </row>
    <row r="5950" spans="6:7" x14ac:dyDescent="0.3">
      <c r="F5950" s="90"/>
      <c r="G5950" s="90"/>
    </row>
    <row r="5951" spans="6:7" x14ac:dyDescent="0.3">
      <c r="F5951" s="90"/>
      <c r="G5951" s="90"/>
    </row>
    <row r="5952" spans="6:7" x14ac:dyDescent="0.3">
      <c r="F5952" s="90"/>
      <c r="G5952" s="90"/>
    </row>
    <row r="5953" spans="6:7" x14ac:dyDescent="0.3">
      <c r="F5953" s="90"/>
      <c r="G5953" s="90"/>
    </row>
    <row r="5954" spans="6:7" x14ac:dyDescent="0.3">
      <c r="F5954" s="90"/>
      <c r="G5954" s="90"/>
    </row>
    <row r="5955" spans="6:7" x14ac:dyDescent="0.3">
      <c r="F5955" s="90"/>
      <c r="G5955" s="90"/>
    </row>
    <row r="5956" spans="6:7" x14ac:dyDescent="0.3">
      <c r="F5956" s="90"/>
      <c r="G5956" s="90"/>
    </row>
    <row r="5957" spans="6:7" x14ac:dyDescent="0.3">
      <c r="F5957" s="90"/>
      <c r="G5957" s="90"/>
    </row>
    <row r="5958" spans="6:7" x14ac:dyDescent="0.3">
      <c r="F5958" s="90"/>
      <c r="G5958" s="90"/>
    </row>
    <row r="5959" spans="6:7" x14ac:dyDescent="0.3">
      <c r="F5959" s="90"/>
      <c r="G5959" s="90"/>
    </row>
    <row r="5960" spans="6:7" x14ac:dyDescent="0.3">
      <c r="F5960" s="90"/>
      <c r="G5960" s="90"/>
    </row>
    <row r="5961" spans="6:7" x14ac:dyDescent="0.3">
      <c r="F5961" s="90"/>
      <c r="G5961" s="90"/>
    </row>
    <row r="5962" spans="6:7" x14ac:dyDescent="0.3">
      <c r="F5962" s="90"/>
      <c r="G5962" s="90"/>
    </row>
    <row r="5963" spans="6:7" x14ac:dyDescent="0.3">
      <c r="F5963" s="90"/>
      <c r="G5963" s="90"/>
    </row>
    <row r="5964" spans="6:7" x14ac:dyDescent="0.3">
      <c r="F5964" s="90"/>
      <c r="G5964" s="90"/>
    </row>
    <row r="5965" spans="6:7" x14ac:dyDescent="0.3">
      <c r="F5965" s="90"/>
      <c r="G5965" s="90"/>
    </row>
    <row r="5966" spans="6:7" x14ac:dyDescent="0.3">
      <c r="F5966" s="90"/>
      <c r="G5966" s="90"/>
    </row>
    <row r="5967" spans="6:7" x14ac:dyDescent="0.3">
      <c r="F5967" s="90"/>
      <c r="G5967" s="90"/>
    </row>
    <row r="5968" spans="6:7" x14ac:dyDescent="0.3">
      <c r="F5968" s="90"/>
      <c r="G5968" s="90"/>
    </row>
    <row r="5969" spans="6:7" x14ac:dyDescent="0.3">
      <c r="F5969" s="90"/>
      <c r="G5969" s="90"/>
    </row>
    <row r="5970" spans="6:7" x14ac:dyDescent="0.3">
      <c r="F5970" s="90"/>
      <c r="G5970" s="90"/>
    </row>
    <row r="5971" spans="6:7" x14ac:dyDescent="0.3">
      <c r="F5971" s="90"/>
      <c r="G5971" s="90"/>
    </row>
    <row r="5972" spans="6:7" x14ac:dyDescent="0.3">
      <c r="F5972" s="90"/>
      <c r="G5972" s="90"/>
    </row>
    <row r="5973" spans="6:7" x14ac:dyDescent="0.3">
      <c r="F5973" s="90"/>
      <c r="G5973" s="90"/>
    </row>
    <row r="5974" spans="6:7" x14ac:dyDescent="0.3">
      <c r="F5974" s="90"/>
      <c r="G5974" s="90"/>
    </row>
    <row r="5975" spans="6:7" x14ac:dyDescent="0.3">
      <c r="F5975" s="90"/>
      <c r="G5975" s="90"/>
    </row>
    <row r="5976" spans="6:7" x14ac:dyDescent="0.3">
      <c r="F5976" s="90"/>
      <c r="G5976" s="90"/>
    </row>
    <row r="5977" spans="6:7" x14ac:dyDescent="0.3">
      <c r="F5977" s="90"/>
      <c r="G5977" s="90"/>
    </row>
    <row r="5978" spans="6:7" x14ac:dyDescent="0.3">
      <c r="F5978" s="90"/>
      <c r="G5978" s="90"/>
    </row>
    <row r="5979" spans="6:7" x14ac:dyDescent="0.3">
      <c r="F5979" s="90"/>
      <c r="G5979" s="90"/>
    </row>
    <row r="5980" spans="6:7" x14ac:dyDescent="0.3">
      <c r="F5980" s="90"/>
      <c r="G5980" s="90"/>
    </row>
    <row r="5981" spans="6:7" x14ac:dyDescent="0.3">
      <c r="F5981" s="90"/>
      <c r="G5981" s="90"/>
    </row>
    <row r="5982" spans="6:7" x14ac:dyDescent="0.3">
      <c r="F5982" s="90"/>
      <c r="G5982" s="90"/>
    </row>
    <row r="5983" spans="6:7" x14ac:dyDescent="0.3">
      <c r="F5983" s="90"/>
      <c r="G5983" s="90"/>
    </row>
    <row r="5984" spans="6:7" x14ac:dyDescent="0.3">
      <c r="F5984" s="90"/>
      <c r="G5984" s="90"/>
    </row>
    <row r="5985" spans="6:7" x14ac:dyDescent="0.3">
      <c r="F5985" s="90"/>
      <c r="G5985" s="90"/>
    </row>
    <row r="5986" spans="6:7" x14ac:dyDescent="0.3">
      <c r="F5986" s="90"/>
      <c r="G5986" s="90"/>
    </row>
    <row r="5987" spans="6:7" x14ac:dyDescent="0.3">
      <c r="F5987" s="90"/>
      <c r="G5987" s="90"/>
    </row>
    <row r="5988" spans="6:7" x14ac:dyDescent="0.3">
      <c r="F5988" s="90"/>
      <c r="G5988" s="90"/>
    </row>
    <row r="5989" spans="6:7" x14ac:dyDescent="0.3">
      <c r="F5989" s="90"/>
      <c r="G5989" s="90"/>
    </row>
    <row r="5990" spans="6:7" x14ac:dyDescent="0.3">
      <c r="F5990" s="90"/>
      <c r="G5990" s="90"/>
    </row>
    <row r="5991" spans="6:7" x14ac:dyDescent="0.3">
      <c r="F5991" s="90"/>
      <c r="G5991" s="90"/>
    </row>
    <row r="5992" spans="6:7" x14ac:dyDescent="0.3">
      <c r="F5992" s="90"/>
      <c r="G5992" s="90"/>
    </row>
    <row r="5993" spans="6:7" x14ac:dyDescent="0.3">
      <c r="F5993" s="90"/>
      <c r="G5993" s="90"/>
    </row>
    <row r="5994" spans="6:7" x14ac:dyDescent="0.3">
      <c r="F5994" s="90"/>
      <c r="G5994" s="90"/>
    </row>
    <row r="5995" spans="6:7" x14ac:dyDescent="0.3">
      <c r="F5995" s="90"/>
      <c r="G5995" s="90"/>
    </row>
    <row r="5996" spans="6:7" x14ac:dyDescent="0.3">
      <c r="F5996" s="90"/>
      <c r="G5996" s="90"/>
    </row>
    <row r="5997" spans="6:7" x14ac:dyDescent="0.3">
      <c r="F5997" s="90"/>
      <c r="G5997" s="90"/>
    </row>
    <row r="5998" spans="6:7" x14ac:dyDescent="0.3">
      <c r="F5998" s="90"/>
      <c r="G5998" s="90"/>
    </row>
    <row r="5999" spans="6:7" x14ac:dyDescent="0.3">
      <c r="F5999" s="90"/>
      <c r="G5999" s="90"/>
    </row>
    <row r="6000" spans="6:7" x14ac:dyDescent="0.3">
      <c r="F6000" s="90"/>
      <c r="G6000" s="90"/>
    </row>
    <row r="6001" spans="6:7" x14ac:dyDescent="0.3">
      <c r="F6001" s="90"/>
      <c r="G6001" s="90"/>
    </row>
    <row r="6002" spans="6:7" x14ac:dyDescent="0.3">
      <c r="F6002" s="90"/>
      <c r="G6002" s="90"/>
    </row>
    <row r="6003" spans="6:7" x14ac:dyDescent="0.3">
      <c r="F6003" s="90"/>
      <c r="G6003" s="90"/>
    </row>
    <row r="6004" spans="6:7" x14ac:dyDescent="0.3">
      <c r="F6004" s="90"/>
      <c r="G6004" s="90"/>
    </row>
    <row r="6005" spans="6:7" x14ac:dyDescent="0.3">
      <c r="F6005" s="90"/>
      <c r="G6005" s="90"/>
    </row>
    <row r="6006" spans="6:7" x14ac:dyDescent="0.3">
      <c r="F6006" s="90"/>
      <c r="G6006" s="90"/>
    </row>
    <row r="6007" spans="6:7" x14ac:dyDescent="0.3">
      <c r="F6007" s="90"/>
      <c r="G6007" s="90"/>
    </row>
    <row r="6008" spans="6:7" x14ac:dyDescent="0.3">
      <c r="F6008" s="90"/>
      <c r="G6008" s="90"/>
    </row>
    <row r="6009" spans="6:7" x14ac:dyDescent="0.3">
      <c r="F6009" s="90"/>
      <c r="G6009" s="90"/>
    </row>
    <row r="6010" spans="6:7" x14ac:dyDescent="0.3">
      <c r="F6010" s="90"/>
      <c r="G6010" s="90"/>
    </row>
    <row r="6011" spans="6:7" x14ac:dyDescent="0.3">
      <c r="F6011" s="90"/>
      <c r="G6011" s="90"/>
    </row>
    <row r="6012" spans="6:7" x14ac:dyDescent="0.3">
      <c r="F6012" s="90"/>
      <c r="G6012" s="90"/>
    </row>
    <row r="6013" spans="6:7" x14ac:dyDescent="0.3">
      <c r="F6013" s="90"/>
      <c r="G6013" s="90"/>
    </row>
    <row r="6014" spans="6:7" x14ac:dyDescent="0.3">
      <c r="F6014" s="90"/>
      <c r="G6014" s="90"/>
    </row>
    <row r="6015" spans="6:7" x14ac:dyDescent="0.3">
      <c r="F6015" s="90"/>
      <c r="G6015" s="90"/>
    </row>
    <row r="6016" spans="6:7" x14ac:dyDescent="0.3">
      <c r="F6016" s="90"/>
      <c r="G6016" s="90"/>
    </row>
    <row r="6017" spans="6:7" x14ac:dyDescent="0.3">
      <c r="F6017" s="90"/>
      <c r="G6017" s="90"/>
    </row>
    <row r="6018" spans="6:7" x14ac:dyDescent="0.3">
      <c r="F6018" s="90"/>
      <c r="G6018" s="90"/>
    </row>
    <row r="6019" spans="6:7" x14ac:dyDescent="0.3">
      <c r="F6019" s="90"/>
      <c r="G6019" s="90"/>
    </row>
    <row r="6020" spans="6:7" x14ac:dyDescent="0.3">
      <c r="F6020" s="90"/>
      <c r="G6020" s="90"/>
    </row>
    <row r="6021" spans="6:7" x14ac:dyDescent="0.3">
      <c r="F6021" s="90"/>
      <c r="G6021" s="90"/>
    </row>
    <row r="6022" spans="6:7" x14ac:dyDescent="0.3">
      <c r="F6022" s="90"/>
      <c r="G6022" s="90"/>
    </row>
    <row r="6023" spans="6:7" x14ac:dyDescent="0.3">
      <c r="F6023" s="90"/>
      <c r="G6023" s="90"/>
    </row>
    <row r="6024" spans="6:7" x14ac:dyDescent="0.3">
      <c r="F6024" s="90"/>
      <c r="G6024" s="90"/>
    </row>
    <row r="6025" spans="6:7" x14ac:dyDescent="0.3">
      <c r="F6025" s="90"/>
      <c r="G6025" s="90"/>
    </row>
    <row r="6026" spans="6:7" x14ac:dyDescent="0.3">
      <c r="F6026" s="90"/>
      <c r="G6026" s="90"/>
    </row>
    <row r="6027" spans="6:7" x14ac:dyDescent="0.3">
      <c r="F6027" s="90"/>
      <c r="G6027" s="90"/>
    </row>
    <row r="6028" spans="6:7" x14ac:dyDescent="0.3">
      <c r="F6028" s="90"/>
      <c r="G6028" s="90"/>
    </row>
    <row r="6029" spans="6:7" x14ac:dyDescent="0.3">
      <c r="F6029" s="90"/>
      <c r="G6029" s="90"/>
    </row>
    <row r="6030" spans="6:7" x14ac:dyDescent="0.3">
      <c r="F6030" s="90"/>
      <c r="G6030" s="90"/>
    </row>
    <row r="6031" spans="6:7" x14ac:dyDescent="0.3">
      <c r="F6031" s="90"/>
      <c r="G6031" s="90"/>
    </row>
    <row r="6032" spans="6:7" x14ac:dyDescent="0.3">
      <c r="F6032" s="90"/>
      <c r="G6032" s="90"/>
    </row>
    <row r="6033" spans="6:7" x14ac:dyDescent="0.3">
      <c r="F6033" s="90"/>
      <c r="G6033" s="90"/>
    </row>
    <row r="6034" spans="6:7" x14ac:dyDescent="0.3">
      <c r="F6034" s="90"/>
      <c r="G6034" s="90"/>
    </row>
    <row r="6035" spans="6:7" x14ac:dyDescent="0.3">
      <c r="F6035" s="90"/>
      <c r="G6035" s="90"/>
    </row>
    <row r="6036" spans="6:7" x14ac:dyDescent="0.3">
      <c r="F6036" s="90"/>
      <c r="G6036" s="90"/>
    </row>
    <row r="6037" spans="6:7" x14ac:dyDescent="0.3">
      <c r="F6037" s="90"/>
      <c r="G6037" s="90"/>
    </row>
    <row r="6038" spans="6:7" x14ac:dyDescent="0.3">
      <c r="F6038" s="90"/>
      <c r="G6038" s="90"/>
    </row>
    <row r="6039" spans="6:7" x14ac:dyDescent="0.3">
      <c r="F6039" s="90"/>
      <c r="G6039" s="90"/>
    </row>
    <row r="6040" spans="6:7" x14ac:dyDescent="0.3">
      <c r="F6040" s="90"/>
      <c r="G6040" s="90"/>
    </row>
    <row r="6041" spans="6:7" x14ac:dyDescent="0.3">
      <c r="F6041" s="90"/>
      <c r="G6041" s="90"/>
    </row>
    <row r="6042" spans="6:7" x14ac:dyDescent="0.3">
      <c r="F6042" s="90"/>
      <c r="G6042" s="90"/>
    </row>
    <row r="6043" spans="6:7" x14ac:dyDescent="0.3">
      <c r="F6043" s="90"/>
      <c r="G6043" s="90"/>
    </row>
    <row r="6044" spans="6:7" x14ac:dyDescent="0.3">
      <c r="F6044" s="90"/>
      <c r="G6044" s="90"/>
    </row>
    <row r="6045" spans="6:7" x14ac:dyDescent="0.3">
      <c r="F6045" s="90"/>
      <c r="G6045" s="90"/>
    </row>
    <row r="6046" spans="6:7" x14ac:dyDescent="0.3">
      <c r="F6046" s="90"/>
      <c r="G6046" s="90"/>
    </row>
    <row r="6047" spans="6:7" x14ac:dyDescent="0.3">
      <c r="F6047" s="90"/>
      <c r="G6047" s="90"/>
    </row>
    <row r="6048" spans="6:7" x14ac:dyDescent="0.3">
      <c r="F6048" s="90"/>
      <c r="G6048" s="90"/>
    </row>
    <row r="6049" spans="6:7" x14ac:dyDescent="0.3">
      <c r="F6049" s="90"/>
      <c r="G6049" s="90"/>
    </row>
    <row r="6050" spans="6:7" x14ac:dyDescent="0.3">
      <c r="F6050" s="90"/>
      <c r="G6050" s="90"/>
    </row>
    <row r="6051" spans="6:7" x14ac:dyDescent="0.3">
      <c r="F6051" s="90"/>
      <c r="G6051" s="90"/>
    </row>
    <row r="6052" spans="6:7" x14ac:dyDescent="0.3">
      <c r="F6052" s="90"/>
      <c r="G6052" s="90"/>
    </row>
    <row r="6053" spans="6:7" x14ac:dyDescent="0.3">
      <c r="F6053" s="90"/>
      <c r="G6053" s="90"/>
    </row>
    <row r="6054" spans="6:7" x14ac:dyDescent="0.3">
      <c r="F6054" s="90"/>
      <c r="G6054" s="90"/>
    </row>
    <row r="6055" spans="6:7" x14ac:dyDescent="0.3">
      <c r="F6055" s="90"/>
      <c r="G6055" s="90"/>
    </row>
    <row r="6056" spans="6:7" x14ac:dyDescent="0.3">
      <c r="F6056" s="90"/>
      <c r="G6056" s="90"/>
    </row>
    <row r="6057" spans="6:7" x14ac:dyDescent="0.3">
      <c r="F6057" s="90"/>
      <c r="G6057" s="90"/>
    </row>
    <row r="6058" spans="6:7" x14ac:dyDescent="0.3">
      <c r="F6058" s="90"/>
      <c r="G6058" s="90"/>
    </row>
    <row r="6059" spans="6:7" x14ac:dyDescent="0.3">
      <c r="F6059" s="90"/>
      <c r="G6059" s="90"/>
    </row>
    <row r="6060" spans="6:7" x14ac:dyDescent="0.3">
      <c r="F6060" s="90"/>
      <c r="G6060" s="90"/>
    </row>
    <row r="6061" spans="6:7" x14ac:dyDescent="0.3">
      <c r="F6061" s="90"/>
      <c r="G6061" s="90"/>
    </row>
    <row r="6062" spans="6:7" x14ac:dyDescent="0.3">
      <c r="F6062" s="90"/>
      <c r="G6062" s="90"/>
    </row>
    <row r="6063" spans="6:7" x14ac:dyDescent="0.3">
      <c r="F6063" s="90"/>
      <c r="G6063" s="90"/>
    </row>
    <row r="6064" spans="6:7" x14ac:dyDescent="0.3">
      <c r="F6064" s="90"/>
      <c r="G6064" s="90"/>
    </row>
    <row r="6065" spans="6:7" x14ac:dyDescent="0.3">
      <c r="F6065" s="90"/>
      <c r="G6065" s="90"/>
    </row>
    <row r="6066" spans="6:7" x14ac:dyDescent="0.3">
      <c r="F6066" s="90"/>
      <c r="G6066" s="90"/>
    </row>
    <row r="6067" spans="6:7" x14ac:dyDescent="0.3">
      <c r="F6067" s="90"/>
      <c r="G6067" s="90"/>
    </row>
    <row r="6068" spans="6:7" x14ac:dyDescent="0.3">
      <c r="F6068" s="90"/>
      <c r="G6068" s="90"/>
    </row>
    <row r="6069" spans="6:7" x14ac:dyDescent="0.3">
      <c r="F6069" s="90"/>
      <c r="G6069" s="90"/>
    </row>
    <row r="6070" spans="6:7" x14ac:dyDescent="0.3">
      <c r="F6070" s="90"/>
      <c r="G6070" s="90"/>
    </row>
    <row r="6071" spans="6:7" x14ac:dyDescent="0.3">
      <c r="F6071" s="90"/>
      <c r="G6071" s="90"/>
    </row>
    <row r="6072" spans="6:7" x14ac:dyDescent="0.3">
      <c r="F6072" s="90"/>
      <c r="G6072" s="90"/>
    </row>
    <row r="6073" spans="6:7" x14ac:dyDescent="0.3">
      <c r="F6073" s="90"/>
      <c r="G6073" s="90"/>
    </row>
    <row r="6074" spans="6:7" x14ac:dyDescent="0.3">
      <c r="F6074" s="90"/>
      <c r="G6074" s="90"/>
    </row>
    <row r="6075" spans="6:7" x14ac:dyDescent="0.3">
      <c r="F6075" s="90"/>
      <c r="G6075" s="90"/>
    </row>
    <row r="6076" spans="6:7" x14ac:dyDescent="0.3">
      <c r="F6076" s="90"/>
      <c r="G6076" s="90"/>
    </row>
    <row r="6077" spans="6:7" x14ac:dyDescent="0.3">
      <c r="F6077" s="90"/>
      <c r="G6077" s="90"/>
    </row>
    <row r="6078" spans="6:7" x14ac:dyDescent="0.3">
      <c r="F6078" s="90"/>
      <c r="G6078" s="90"/>
    </row>
    <row r="6079" spans="6:7" x14ac:dyDescent="0.3">
      <c r="F6079" s="90"/>
      <c r="G6079" s="90"/>
    </row>
    <row r="6080" spans="6:7" x14ac:dyDescent="0.3">
      <c r="F6080" s="90"/>
      <c r="G6080" s="90"/>
    </row>
    <row r="6081" spans="6:7" x14ac:dyDescent="0.3">
      <c r="F6081" s="90"/>
      <c r="G6081" s="90"/>
    </row>
    <row r="6082" spans="6:7" x14ac:dyDescent="0.3">
      <c r="F6082" s="90"/>
      <c r="G6082" s="90"/>
    </row>
    <row r="6083" spans="6:7" x14ac:dyDescent="0.3">
      <c r="F6083" s="90"/>
      <c r="G6083" s="90"/>
    </row>
    <row r="6084" spans="6:7" x14ac:dyDescent="0.3">
      <c r="F6084" s="90"/>
      <c r="G6084" s="90"/>
    </row>
    <row r="6085" spans="6:7" x14ac:dyDescent="0.3">
      <c r="F6085" s="90"/>
      <c r="G6085" s="90"/>
    </row>
    <row r="6086" spans="6:7" x14ac:dyDescent="0.3">
      <c r="F6086" s="90"/>
      <c r="G6086" s="90"/>
    </row>
    <row r="6087" spans="6:7" x14ac:dyDescent="0.3">
      <c r="F6087" s="90"/>
      <c r="G6087" s="90"/>
    </row>
    <row r="6088" spans="6:7" x14ac:dyDescent="0.3">
      <c r="F6088" s="90"/>
      <c r="G6088" s="90"/>
    </row>
    <row r="6089" spans="6:7" x14ac:dyDescent="0.3">
      <c r="F6089" s="90"/>
      <c r="G6089" s="90"/>
    </row>
    <row r="6090" spans="6:7" x14ac:dyDescent="0.3">
      <c r="F6090" s="90"/>
      <c r="G6090" s="90"/>
    </row>
    <row r="6091" spans="6:7" x14ac:dyDescent="0.3">
      <c r="F6091" s="90"/>
      <c r="G6091" s="90"/>
    </row>
    <row r="6092" spans="6:7" x14ac:dyDescent="0.3">
      <c r="F6092" s="90"/>
      <c r="G6092" s="90"/>
    </row>
    <row r="6093" spans="6:7" x14ac:dyDescent="0.3">
      <c r="F6093" s="90"/>
      <c r="G6093" s="90"/>
    </row>
    <row r="6094" spans="6:7" x14ac:dyDescent="0.3">
      <c r="F6094" s="90"/>
      <c r="G6094" s="90"/>
    </row>
    <row r="6095" spans="6:7" x14ac:dyDescent="0.3">
      <c r="F6095" s="90"/>
      <c r="G6095" s="90"/>
    </row>
    <row r="6096" spans="6:7" x14ac:dyDescent="0.3">
      <c r="F6096" s="90"/>
      <c r="G6096" s="90"/>
    </row>
    <row r="6097" spans="6:7" x14ac:dyDescent="0.3">
      <c r="F6097" s="90"/>
      <c r="G6097" s="90"/>
    </row>
    <row r="6098" spans="6:7" x14ac:dyDescent="0.3">
      <c r="F6098" s="90"/>
      <c r="G6098" s="90"/>
    </row>
    <row r="6099" spans="6:7" x14ac:dyDescent="0.3">
      <c r="F6099" s="90"/>
      <c r="G6099" s="90"/>
    </row>
    <row r="6100" spans="6:7" x14ac:dyDescent="0.3">
      <c r="F6100" s="90"/>
      <c r="G6100" s="90"/>
    </row>
    <row r="6101" spans="6:7" x14ac:dyDescent="0.3">
      <c r="F6101" s="90"/>
      <c r="G6101" s="90"/>
    </row>
    <row r="6102" spans="6:7" x14ac:dyDescent="0.3">
      <c r="F6102" s="90"/>
      <c r="G6102" s="90"/>
    </row>
    <row r="6103" spans="6:7" x14ac:dyDescent="0.3">
      <c r="F6103" s="90"/>
      <c r="G6103" s="90"/>
    </row>
    <row r="6104" spans="6:7" x14ac:dyDescent="0.3">
      <c r="F6104" s="90"/>
      <c r="G6104" s="90"/>
    </row>
    <row r="6105" spans="6:7" x14ac:dyDescent="0.3">
      <c r="F6105" s="90"/>
      <c r="G6105" s="90"/>
    </row>
    <row r="6106" spans="6:7" x14ac:dyDescent="0.3">
      <c r="F6106" s="90"/>
      <c r="G6106" s="90"/>
    </row>
    <row r="6107" spans="6:7" x14ac:dyDescent="0.3">
      <c r="F6107" s="90"/>
      <c r="G6107" s="90"/>
    </row>
    <row r="6108" spans="6:7" x14ac:dyDescent="0.3">
      <c r="F6108" s="90"/>
      <c r="G6108" s="90"/>
    </row>
    <row r="6109" spans="6:7" x14ac:dyDescent="0.3">
      <c r="F6109" s="90"/>
      <c r="G6109" s="90"/>
    </row>
    <row r="6110" spans="6:7" x14ac:dyDescent="0.3">
      <c r="F6110" s="90"/>
      <c r="G6110" s="90"/>
    </row>
    <row r="6111" spans="6:7" x14ac:dyDescent="0.3">
      <c r="F6111" s="90"/>
      <c r="G6111" s="90"/>
    </row>
    <row r="6112" spans="6:7" x14ac:dyDescent="0.3">
      <c r="F6112" s="90"/>
      <c r="G6112" s="90"/>
    </row>
    <row r="6113" spans="6:7" x14ac:dyDescent="0.3">
      <c r="F6113" s="90"/>
      <c r="G6113" s="90"/>
    </row>
    <row r="6114" spans="6:7" x14ac:dyDescent="0.3">
      <c r="F6114" s="90"/>
      <c r="G6114" s="90"/>
    </row>
    <row r="6115" spans="6:7" x14ac:dyDescent="0.3">
      <c r="F6115" s="90"/>
      <c r="G6115" s="90"/>
    </row>
    <row r="6116" spans="6:7" x14ac:dyDescent="0.3">
      <c r="F6116" s="90"/>
      <c r="G6116" s="90"/>
    </row>
    <row r="6117" spans="6:7" x14ac:dyDescent="0.3">
      <c r="F6117" s="90"/>
      <c r="G6117" s="90"/>
    </row>
    <row r="6118" spans="6:7" x14ac:dyDescent="0.3">
      <c r="F6118" s="90"/>
      <c r="G6118" s="90"/>
    </row>
    <row r="6119" spans="6:7" x14ac:dyDescent="0.3">
      <c r="F6119" s="90"/>
      <c r="G6119" s="90"/>
    </row>
    <row r="6120" spans="6:7" x14ac:dyDescent="0.3">
      <c r="F6120" s="90"/>
      <c r="G6120" s="90"/>
    </row>
    <row r="6121" spans="6:7" x14ac:dyDescent="0.3">
      <c r="F6121" s="90"/>
      <c r="G6121" s="90"/>
    </row>
    <row r="6122" spans="6:7" x14ac:dyDescent="0.3">
      <c r="F6122" s="90"/>
      <c r="G6122" s="90"/>
    </row>
    <row r="6123" spans="6:7" x14ac:dyDescent="0.3">
      <c r="F6123" s="90"/>
      <c r="G6123" s="90"/>
    </row>
    <row r="6124" spans="6:7" x14ac:dyDescent="0.3">
      <c r="F6124" s="90"/>
      <c r="G6124" s="90"/>
    </row>
    <row r="6125" spans="6:7" x14ac:dyDescent="0.3">
      <c r="F6125" s="90"/>
      <c r="G6125" s="90"/>
    </row>
    <row r="6126" spans="6:7" x14ac:dyDescent="0.3">
      <c r="F6126" s="90"/>
      <c r="G6126" s="90"/>
    </row>
    <row r="6127" spans="6:7" x14ac:dyDescent="0.3">
      <c r="F6127" s="90"/>
      <c r="G6127" s="90"/>
    </row>
    <row r="6128" spans="6:7" x14ac:dyDescent="0.3">
      <c r="F6128" s="90"/>
      <c r="G6128" s="90"/>
    </row>
    <row r="6129" spans="6:7" x14ac:dyDescent="0.3">
      <c r="F6129" s="90"/>
      <c r="G6129" s="90"/>
    </row>
    <row r="6130" spans="6:7" x14ac:dyDescent="0.3">
      <c r="F6130" s="90"/>
      <c r="G6130" s="90"/>
    </row>
    <row r="6131" spans="6:7" x14ac:dyDescent="0.3">
      <c r="F6131" s="90"/>
      <c r="G6131" s="90"/>
    </row>
    <row r="6132" spans="6:7" x14ac:dyDescent="0.3">
      <c r="F6132" s="90"/>
      <c r="G6132" s="90"/>
    </row>
    <row r="6133" spans="6:7" x14ac:dyDescent="0.3">
      <c r="F6133" s="90"/>
      <c r="G6133" s="90"/>
    </row>
    <row r="6134" spans="6:7" x14ac:dyDescent="0.3">
      <c r="F6134" s="90"/>
      <c r="G6134" s="90"/>
    </row>
    <row r="6135" spans="6:7" x14ac:dyDescent="0.3">
      <c r="F6135" s="90"/>
      <c r="G6135" s="90"/>
    </row>
    <row r="6136" spans="6:7" x14ac:dyDescent="0.3">
      <c r="F6136" s="90"/>
      <c r="G6136" s="90"/>
    </row>
    <row r="6137" spans="6:7" x14ac:dyDescent="0.3">
      <c r="F6137" s="90"/>
      <c r="G6137" s="90"/>
    </row>
    <row r="6138" spans="6:7" x14ac:dyDescent="0.3">
      <c r="F6138" s="90"/>
      <c r="G6138" s="90"/>
    </row>
    <row r="6139" spans="6:7" x14ac:dyDescent="0.3">
      <c r="F6139" s="90"/>
      <c r="G6139" s="90"/>
    </row>
    <row r="6140" spans="6:7" x14ac:dyDescent="0.3">
      <c r="F6140" s="90"/>
      <c r="G6140" s="90"/>
    </row>
    <row r="6141" spans="6:7" x14ac:dyDescent="0.3">
      <c r="F6141" s="90"/>
      <c r="G6141" s="90"/>
    </row>
    <row r="6142" spans="6:7" x14ac:dyDescent="0.3">
      <c r="F6142" s="90"/>
      <c r="G6142" s="90"/>
    </row>
    <row r="6143" spans="6:7" x14ac:dyDescent="0.3">
      <c r="F6143" s="90"/>
      <c r="G6143" s="90"/>
    </row>
    <row r="6144" spans="6:7" x14ac:dyDescent="0.3">
      <c r="F6144" s="90"/>
      <c r="G6144" s="90"/>
    </row>
    <row r="6145" spans="6:7" x14ac:dyDescent="0.3">
      <c r="F6145" s="90"/>
      <c r="G6145" s="90"/>
    </row>
    <row r="6146" spans="6:7" x14ac:dyDescent="0.3">
      <c r="F6146" s="90"/>
      <c r="G6146" s="90"/>
    </row>
    <row r="6147" spans="6:7" x14ac:dyDescent="0.3">
      <c r="F6147" s="90"/>
      <c r="G6147" s="90"/>
    </row>
    <row r="6148" spans="6:7" x14ac:dyDescent="0.3">
      <c r="F6148" s="90"/>
      <c r="G6148" s="90"/>
    </row>
    <row r="6149" spans="6:7" x14ac:dyDescent="0.3">
      <c r="F6149" s="90"/>
      <c r="G6149" s="90"/>
    </row>
    <row r="6150" spans="6:7" x14ac:dyDescent="0.3">
      <c r="F6150" s="90"/>
      <c r="G6150" s="90"/>
    </row>
    <row r="6151" spans="6:7" x14ac:dyDescent="0.3">
      <c r="F6151" s="90"/>
      <c r="G6151" s="90"/>
    </row>
    <row r="6152" spans="6:7" x14ac:dyDescent="0.3">
      <c r="F6152" s="90"/>
      <c r="G6152" s="90"/>
    </row>
    <row r="6153" spans="6:7" x14ac:dyDescent="0.3">
      <c r="F6153" s="90"/>
      <c r="G6153" s="90"/>
    </row>
    <row r="6154" spans="6:7" x14ac:dyDescent="0.3">
      <c r="F6154" s="90"/>
      <c r="G6154" s="90"/>
    </row>
    <row r="6155" spans="6:7" x14ac:dyDescent="0.3">
      <c r="F6155" s="90"/>
      <c r="G6155" s="90"/>
    </row>
    <row r="6156" spans="6:7" x14ac:dyDescent="0.3">
      <c r="F6156" s="90"/>
      <c r="G6156" s="90"/>
    </row>
    <row r="6157" spans="6:7" x14ac:dyDescent="0.3">
      <c r="F6157" s="90"/>
      <c r="G6157" s="90"/>
    </row>
    <row r="6158" spans="6:7" x14ac:dyDescent="0.3">
      <c r="F6158" s="90"/>
      <c r="G6158" s="90"/>
    </row>
    <row r="6159" spans="6:7" x14ac:dyDescent="0.3">
      <c r="F6159" s="90"/>
      <c r="G6159" s="90"/>
    </row>
    <row r="6160" spans="6:7" x14ac:dyDescent="0.3">
      <c r="F6160" s="90"/>
      <c r="G6160" s="90"/>
    </row>
    <row r="6161" spans="6:7" x14ac:dyDescent="0.3">
      <c r="F6161" s="90"/>
      <c r="G6161" s="90"/>
    </row>
    <row r="6162" spans="6:7" x14ac:dyDescent="0.3">
      <c r="F6162" s="90"/>
      <c r="G6162" s="90"/>
    </row>
    <row r="6163" spans="6:7" x14ac:dyDescent="0.3">
      <c r="F6163" s="90"/>
      <c r="G6163" s="90"/>
    </row>
    <row r="6164" spans="6:7" x14ac:dyDescent="0.3">
      <c r="F6164" s="90"/>
      <c r="G6164" s="90"/>
    </row>
    <row r="6165" spans="6:7" x14ac:dyDescent="0.3">
      <c r="F6165" s="90"/>
      <c r="G6165" s="90"/>
    </row>
    <row r="6166" spans="6:7" x14ac:dyDescent="0.3">
      <c r="F6166" s="90"/>
      <c r="G6166" s="90"/>
    </row>
    <row r="6167" spans="6:7" x14ac:dyDescent="0.3">
      <c r="F6167" s="90"/>
      <c r="G6167" s="90"/>
    </row>
    <row r="6168" spans="6:7" x14ac:dyDescent="0.3">
      <c r="F6168" s="90"/>
      <c r="G6168" s="90"/>
    </row>
    <row r="6169" spans="6:7" x14ac:dyDescent="0.3">
      <c r="F6169" s="90"/>
      <c r="G6169" s="90"/>
    </row>
    <row r="6170" spans="6:7" x14ac:dyDescent="0.3">
      <c r="F6170" s="90"/>
      <c r="G6170" s="90"/>
    </row>
    <row r="6171" spans="6:7" x14ac:dyDescent="0.3">
      <c r="F6171" s="90"/>
      <c r="G6171" s="90"/>
    </row>
    <row r="6172" spans="6:7" x14ac:dyDescent="0.3">
      <c r="F6172" s="90"/>
      <c r="G6172" s="90"/>
    </row>
    <row r="6173" spans="6:7" x14ac:dyDescent="0.3">
      <c r="F6173" s="90"/>
      <c r="G6173" s="90"/>
    </row>
    <row r="6174" spans="6:7" x14ac:dyDescent="0.3">
      <c r="F6174" s="90"/>
      <c r="G6174" s="90"/>
    </row>
    <row r="6175" spans="6:7" x14ac:dyDescent="0.3">
      <c r="F6175" s="90"/>
      <c r="G6175" s="90"/>
    </row>
    <row r="6176" spans="6:7" x14ac:dyDescent="0.3">
      <c r="F6176" s="90"/>
      <c r="G6176" s="90"/>
    </row>
    <row r="6177" spans="6:7" x14ac:dyDescent="0.3">
      <c r="F6177" s="90"/>
      <c r="G6177" s="90"/>
    </row>
    <row r="6178" spans="6:7" x14ac:dyDescent="0.3">
      <c r="F6178" s="90"/>
      <c r="G6178" s="90"/>
    </row>
    <row r="6179" spans="6:7" x14ac:dyDescent="0.3">
      <c r="F6179" s="90"/>
      <c r="G6179" s="90"/>
    </row>
    <row r="6180" spans="6:7" x14ac:dyDescent="0.3">
      <c r="F6180" s="90"/>
      <c r="G6180" s="90"/>
    </row>
    <row r="6181" spans="6:7" x14ac:dyDescent="0.3">
      <c r="F6181" s="90"/>
      <c r="G6181" s="90"/>
    </row>
    <row r="6182" spans="6:7" x14ac:dyDescent="0.3">
      <c r="F6182" s="90"/>
      <c r="G6182" s="90"/>
    </row>
    <row r="6183" spans="6:7" x14ac:dyDescent="0.3">
      <c r="F6183" s="90"/>
      <c r="G6183" s="90"/>
    </row>
    <row r="6184" spans="6:7" x14ac:dyDescent="0.3">
      <c r="F6184" s="90"/>
      <c r="G6184" s="90"/>
    </row>
    <row r="6185" spans="6:7" x14ac:dyDescent="0.3">
      <c r="F6185" s="90"/>
      <c r="G6185" s="90"/>
    </row>
    <row r="6186" spans="6:7" x14ac:dyDescent="0.3">
      <c r="F6186" s="90"/>
      <c r="G6186" s="90"/>
    </row>
    <row r="6187" spans="6:7" x14ac:dyDescent="0.3">
      <c r="F6187" s="90"/>
      <c r="G6187" s="90"/>
    </row>
    <row r="6188" spans="6:7" x14ac:dyDescent="0.3">
      <c r="F6188" s="90"/>
      <c r="G6188" s="90"/>
    </row>
    <row r="6189" spans="6:7" x14ac:dyDescent="0.3">
      <c r="F6189" s="90"/>
      <c r="G6189" s="90"/>
    </row>
    <row r="6190" spans="6:7" x14ac:dyDescent="0.3">
      <c r="F6190" s="90"/>
      <c r="G6190" s="90"/>
    </row>
    <row r="6191" spans="6:7" x14ac:dyDescent="0.3">
      <c r="F6191" s="90"/>
      <c r="G6191" s="90"/>
    </row>
    <row r="6192" spans="6:7" x14ac:dyDescent="0.3">
      <c r="F6192" s="90"/>
      <c r="G6192" s="90"/>
    </row>
    <row r="6193" spans="6:7" x14ac:dyDescent="0.3">
      <c r="F6193" s="90"/>
      <c r="G6193" s="90"/>
    </row>
    <row r="6194" spans="6:7" x14ac:dyDescent="0.3">
      <c r="F6194" s="90"/>
      <c r="G6194" s="90"/>
    </row>
    <row r="6195" spans="6:7" x14ac:dyDescent="0.3">
      <c r="F6195" s="90"/>
      <c r="G6195" s="90"/>
    </row>
    <row r="6196" spans="6:7" x14ac:dyDescent="0.3">
      <c r="F6196" s="90"/>
      <c r="G6196" s="90"/>
    </row>
    <row r="6197" spans="6:7" x14ac:dyDescent="0.3">
      <c r="F6197" s="90"/>
      <c r="G6197" s="90"/>
    </row>
    <row r="6198" spans="6:7" x14ac:dyDescent="0.3">
      <c r="F6198" s="90"/>
      <c r="G6198" s="90"/>
    </row>
    <row r="6199" spans="6:7" x14ac:dyDescent="0.3">
      <c r="F6199" s="90"/>
      <c r="G6199" s="90"/>
    </row>
    <row r="6200" spans="6:7" x14ac:dyDescent="0.3">
      <c r="F6200" s="90"/>
      <c r="G6200" s="90"/>
    </row>
    <row r="6201" spans="6:7" x14ac:dyDescent="0.3">
      <c r="F6201" s="90"/>
      <c r="G6201" s="90"/>
    </row>
    <row r="6202" spans="6:7" x14ac:dyDescent="0.3">
      <c r="F6202" s="90"/>
      <c r="G6202" s="90"/>
    </row>
    <row r="6203" spans="6:7" x14ac:dyDescent="0.3">
      <c r="F6203" s="90"/>
      <c r="G6203" s="90"/>
    </row>
    <row r="6204" spans="6:7" x14ac:dyDescent="0.3">
      <c r="F6204" s="90"/>
      <c r="G6204" s="90"/>
    </row>
    <row r="6205" spans="6:7" x14ac:dyDescent="0.3">
      <c r="F6205" s="90"/>
      <c r="G6205" s="90"/>
    </row>
    <row r="6206" spans="6:7" x14ac:dyDescent="0.3">
      <c r="F6206" s="90"/>
      <c r="G6206" s="90"/>
    </row>
    <row r="6207" spans="6:7" x14ac:dyDescent="0.3">
      <c r="F6207" s="90"/>
      <c r="G6207" s="90"/>
    </row>
    <row r="6208" spans="6:7" x14ac:dyDescent="0.3">
      <c r="F6208" s="90"/>
      <c r="G6208" s="90"/>
    </row>
    <row r="6209" spans="6:7" x14ac:dyDescent="0.3">
      <c r="F6209" s="90"/>
      <c r="G6209" s="90"/>
    </row>
    <row r="6210" spans="6:7" x14ac:dyDescent="0.3">
      <c r="F6210" s="90"/>
      <c r="G6210" s="90"/>
    </row>
    <row r="6211" spans="6:7" x14ac:dyDescent="0.3">
      <c r="F6211" s="90"/>
      <c r="G6211" s="90"/>
    </row>
    <row r="6212" spans="6:7" x14ac:dyDescent="0.3">
      <c r="F6212" s="90"/>
      <c r="G6212" s="90"/>
    </row>
    <row r="6213" spans="6:7" x14ac:dyDescent="0.3">
      <c r="F6213" s="90"/>
      <c r="G6213" s="90"/>
    </row>
    <row r="6214" spans="6:7" x14ac:dyDescent="0.3">
      <c r="F6214" s="90"/>
      <c r="G6214" s="90"/>
    </row>
    <row r="6215" spans="6:7" x14ac:dyDescent="0.3">
      <c r="F6215" s="90"/>
      <c r="G6215" s="90"/>
    </row>
    <row r="6216" spans="6:7" x14ac:dyDescent="0.3">
      <c r="F6216" s="90"/>
      <c r="G6216" s="90"/>
    </row>
    <row r="6217" spans="6:7" x14ac:dyDescent="0.3">
      <c r="F6217" s="90"/>
      <c r="G6217" s="90"/>
    </row>
    <row r="6218" spans="6:7" x14ac:dyDescent="0.3">
      <c r="F6218" s="90"/>
      <c r="G6218" s="90"/>
    </row>
    <row r="6219" spans="6:7" x14ac:dyDescent="0.3">
      <c r="F6219" s="90"/>
      <c r="G6219" s="90"/>
    </row>
    <row r="6220" spans="6:7" x14ac:dyDescent="0.3">
      <c r="F6220" s="90"/>
      <c r="G6220" s="90"/>
    </row>
    <row r="6221" spans="6:7" x14ac:dyDescent="0.3">
      <c r="F6221" s="90"/>
      <c r="G6221" s="90"/>
    </row>
    <row r="6222" spans="6:7" x14ac:dyDescent="0.3">
      <c r="F6222" s="90"/>
      <c r="G6222" s="90"/>
    </row>
    <row r="6223" spans="6:7" x14ac:dyDescent="0.3">
      <c r="F6223" s="90"/>
      <c r="G6223" s="90"/>
    </row>
    <row r="6224" spans="6:7" x14ac:dyDescent="0.3">
      <c r="F6224" s="90"/>
      <c r="G6224" s="90"/>
    </row>
    <row r="6225" spans="6:7" x14ac:dyDescent="0.3">
      <c r="F6225" s="90"/>
      <c r="G6225" s="90"/>
    </row>
    <row r="6226" spans="6:7" x14ac:dyDescent="0.3">
      <c r="F6226" s="90"/>
      <c r="G6226" s="90"/>
    </row>
    <row r="6227" spans="6:7" x14ac:dyDescent="0.3">
      <c r="F6227" s="90"/>
      <c r="G6227" s="90"/>
    </row>
    <row r="6228" spans="6:7" x14ac:dyDescent="0.3">
      <c r="F6228" s="90"/>
      <c r="G6228" s="90"/>
    </row>
    <row r="6229" spans="6:7" x14ac:dyDescent="0.3">
      <c r="F6229" s="90"/>
      <c r="G6229" s="90"/>
    </row>
    <row r="6230" spans="6:7" x14ac:dyDescent="0.3">
      <c r="F6230" s="90"/>
      <c r="G6230" s="90"/>
    </row>
    <row r="6231" spans="6:7" x14ac:dyDescent="0.3">
      <c r="F6231" s="90"/>
      <c r="G6231" s="90"/>
    </row>
    <row r="6232" spans="6:7" x14ac:dyDescent="0.3">
      <c r="F6232" s="90"/>
      <c r="G6232" s="90"/>
    </row>
    <row r="6233" spans="6:7" x14ac:dyDescent="0.3">
      <c r="F6233" s="90"/>
      <c r="G6233" s="90"/>
    </row>
    <row r="6234" spans="6:7" x14ac:dyDescent="0.3">
      <c r="F6234" s="90"/>
      <c r="G6234" s="90"/>
    </row>
    <row r="6235" spans="6:7" x14ac:dyDescent="0.3">
      <c r="F6235" s="90"/>
      <c r="G6235" s="90"/>
    </row>
    <row r="6236" spans="6:7" x14ac:dyDescent="0.3">
      <c r="F6236" s="90"/>
      <c r="G6236" s="90"/>
    </row>
    <row r="6237" spans="6:7" x14ac:dyDescent="0.3">
      <c r="F6237" s="90"/>
      <c r="G6237" s="90"/>
    </row>
    <row r="6238" spans="6:7" x14ac:dyDescent="0.3">
      <c r="F6238" s="90"/>
      <c r="G6238" s="90"/>
    </row>
    <row r="6239" spans="6:7" x14ac:dyDescent="0.3">
      <c r="F6239" s="90"/>
      <c r="G6239" s="90"/>
    </row>
    <row r="6240" spans="6:7" x14ac:dyDescent="0.3">
      <c r="F6240" s="90"/>
      <c r="G6240" s="90"/>
    </row>
    <row r="6241" spans="6:7" x14ac:dyDescent="0.3">
      <c r="F6241" s="90"/>
      <c r="G6241" s="90"/>
    </row>
    <row r="6242" spans="6:7" x14ac:dyDescent="0.3">
      <c r="F6242" s="90"/>
      <c r="G6242" s="90"/>
    </row>
    <row r="6243" spans="6:7" x14ac:dyDescent="0.3">
      <c r="F6243" s="90"/>
      <c r="G6243" s="90"/>
    </row>
    <row r="6244" spans="6:7" x14ac:dyDescent="0.3">
      <c r="F6244" s="90"/>
      <c r="G6244" s="90"/>
    </row>
    <row r="6245" spans="6:7" x14ac:dyDescent="0.3">
      <c r="F6245" s="90"/>
      <c r="G6245" s="90"/>
    </row>
    <row r="6246" spans="6:7" x14ac:dyDescent="0.3">
      <c r="F6246" s="90"/>
      <c r="G6246" s="90"/>
    </row>
    <row r="6247" spans="6:7" x14ac:dyDescent="0.3">
      <c r="F6247" s="90"/>
      <c r="G6247" s="90"/>
    </row>
    <row r="6248" spans="6:7" x14ac:dyDescent="0.3">
      <c r="F6248" s="90"/>
      <c r="G6248" s="90"/>
    </row>
    <row r="6249" spans="6:7" x14ac:dyDescent="0.3">
      <c r="F6249" s="90"/>
      <c r="G6249" s="90"/>
    </row>
    <row r="6250" spans="6:7" x14ac:dyDescent="0.3">
      <c r="F6250" s="90"/>
      <c r="G6250" s="90"/>
    </row>
    <row r="6251" spans="6:7" x14ac:dyDescent="0.3">
      <c r="F6251" s="90"/>
      <c r="G6251" s="90"/>
    </row>
    <row r="6252" spans="6:7" x14ac:dyDescent="0.3">
      <c r="F6252" s="90"/>
      <c r="G6252" s="90"/>
    </row>
    <row r="6253" spans="6:7" x14ac:dyDescent="0.3">
      <c r="F6253" s="90"/>
      <c r="G6253" s="90"/>
    </row>
    <row r="6254" spans="6:7" x14ac:dyDescent="0.3">
      <c r="F6254" s="90"/>
      <c r="G6254" s="90"/>
    </row>
    <row r="6255" spans="6:7" x14ac:dyDescent="0.3">
      <c r="F6255" s="90"/>
      <c r="G6255" s="90"/>
    </row>
    <row r="6256" spans="6:7" x14ac:dyDescent="0.3">
      <c r="F6256" s="90"/>
      <c r="G6256" s="90"/>
    </row>
    <row r="6257" spans="6:7" x14ac:dyDescent="0.3">
      <c r="F6257" s="90"/>
      <c r="G6257" s="90"/>
    </row>
    <row r="6258" spans="6:7" x14ac:dyDescent="0.3">
      <c r="F6258" s="90"/>
      <c r="G6258" s="90"/>
    </row>
    <row r="6259" spans="6:7" x14ac:dyDescent="0.3">
      <c r="F6259" s="90"/>
      <c r="G6259" s="90"/>
    </row>
    <row r="6260" spans="6:7" x14ac:dyDescent="0.3">
      <c r="F6260" s="90"/>
      <c r="G6260" s="90"/>
    </row>
    <row r="6261" spans="6:7" x14ac:dyDescent="0.3">
      <c r="F6261" s="90"/>
      <c r="G6261" s="90"/>
    </row>
    <row r="6262" spans="6:7" x14ac:dyDescent="0.3">
      <c r="F6262" s="90"/>
      <c r="G6262" s="90"/>
    </row>
    <row r="6263" spans="6:7" x14ac:dyDescent="0.3">
      <c r="F6263" s="90"/>
      <c r="G6263" s="90"/>
    </row>
    <row r="6264" spans="6:7" x14ac:dyDescent="0.3">
      <c r="F6264" s="90"/>
      <c r="G6264" s="90"/>
    </row>
    <row r="6265" spans="6:7" x14ac:dyDescent="0.3">
      <c r="F6265" s="90"/>
      <c r="G6265" s="90"/>
    </row>
    <row r="6266" spans="6:7" x14ac:dyDescent="0.3">
      <c r="F6266" s="90"/>
      <c r="G6266" s="90"/>
    </row>
    <row r="6267" spans="6:7" x14ac:dyDescent="0.3">
      <c r="F6267" s="90"/>
      <c r="G6267" s="90"/>
    </row>
    <row r="6268" spans="6:7" x14ac:dyDescent="0.3">
      <c r="F6268" s="90"/>
      <c r="G6268" s="90"/>
    </row>
    <row r="6269" spans="6:7" x14ac:dyDescent="0.3">
      <c r="F6269" s="90"/>
      <c r="G6269" s="90"/>
    </row>
    <row r="6270" spans="6:7" x14ac:dyDescent="0.3">
      <c r="F6270" s="90"/>
      <c r="G6270" s="90"/>
    </row>
    <row r="6271" spans="6:7" x14ac:dyDescent="0.3">
      <c r="F6271" s="90"/>
      <c r="G6271" s="90"/>
    </row>
    <row r="6272" spans="6:7" x14ac:dyDescent="0.3">
      <c r="F6272" s="90"/>
      <c r="G6272" s="90"/>
    </row>
    <row r="6273" spans="6:7" x14ac:dyDescent="0.3">
      <c r="F6273" s="90"/>
      <c r="G6273" s="90"/>
    </row>
    <row r="6274" spans="6:7" x14ac:dyDescent="0.3">
      <c r="F6274" s="90"/>
      <c r="G6274" s="90"/>
    </row>
    <row r="6275" spans="6:7" x14ac:dyDescent="0.3">
      <c r="F6275" s="90"/>
      <c r="G6275" s="90"/>
    </row>
    <row r="6276" spans="6:7" x14ac:dyDescent="0.3">
      <c r="F6276" s="90"/>
      <c r="G6276" s="90"/>
    </row>
    <row r="6277" spans="6:7" x14ac:dyDescent="0.3">
      <c r="F6277" s="90"/>
      <c r="G6277" s="90"/>
    </row>
    <row r="6278" spans="6:7" x14ac:dyDescent="0.3">
      <c r="F6278" s="90"/>
      <c r="G6278" s="90"/>
    </row>
    <row r="6279" spans="6:7" x14ac:dyDescent="0.3">
      <c r="F6279" s="90"/>
      <c r="G6279" s="90"/>
    </row>
    <row r="6280" spans="6:7" x14ac:dyDescent="0.3">
      <c r="F6280" s="90"/>
      <c r="G6280" s="90"/>
    </row>
    <row r="6281" spans="6:7" x14ac:dyDescent="0.3">
      <c r="F6281" s="90"/>
      <c r="G6281" s="90"/>
    </row>
    <row r="6282" spans="6:7" x14ac:dyDescent="0.3">
      <c r="F6282" s="90"/>
      <c r="G6282" s="90"/>
    </row>
    <row r="6283" spans="6:7" x14ac:dyDescent="0.3">
      <c r="F6283" s="90"/>
      <c r="G6283" s="90"/>
    </row>
    <row r="6284" spans="6:7" x14ac:dyDescent="0.3">
      <c r="F6284" s="90"/>
      <c r="G6284" s="90"/>
    </row>
    <row r="6285" spans="6:7" x14ac:dyDescent="0.3">
      <c r="F6285" s="90"/>
      <c r="G6285" s="90"/>
    </row>
    <row r="6286" spans="6:7" x14ac:dyDescent="0.3">
      <c r="F6286" s="90"/>
      <c r="G6286" s="90"/>
    </row>
    <row r="6287" spans="6:7" x14ac:dyDescent="0.3">
      <c r="F6287" s="90"/>
      <c r="G6287" s="90"/>
    </row>
    <row r="6288" spans="6:7" x14ac:dyDescent="0.3">
      <c r="F6288" s="90"/>
      <c r="G6288" s="90"/>
    </row>
    <row r="6289" spans="6:7" x14ac:dyDescent="0.3">
      <c r="F6289" s="90"/>
      <c r="G6289" s="90"/>
    </row>
    <row r="6290" spans="6:7" x14ac:dyDescent="0.3">
      <c r="F6290" s="90"/>
      <c r="G6290" s="90"/>
    </row>
    <row r="6291" spans="6:7" x14ac:dyDescent="0.3">
      <c r="F6291" s="90"/>
      <c r="G6291" s="90"/>
    </row>
    <row r="6292" spans="6:7" x14ac:dyDescent="0.3">
      <c r="F6292" s="90"/>
      <c r="G6292" s="90"/>
    </row>
    <row r="6293" spans="6:7" x14ac:dyDescent="0.3">
      <c r="F6293" s="90"/>
      <c r="G6293" s="90"/>
    </row>
    <row r="6294" spans="6:7" x14ac:dyDescent="0.3">
      <c r="F6294" s="90"/>
      <c r="G6294" s="90"/>
    </row>
    <row r="6295" spans="6:7" x14ac:dyDescent="0.3">
      <c r="F6295" s="90"/>
      <c r="G6295" s="90"/>
    </row>
    <row r="6296" spans="6:7" x14ac:dyDescent="0.3">
      <c r="F6296" s="90"/>
      <c r="G6296" s="90"/>
    </row>
    <row r="6297" spans="6:7" x14ac:dyDescent="0.3">
      <c r="F6297" s="90"/>
      <c r="G6297" s="90"/>
    </row>
    <row r="6298" spans="6:7" x14ac:dyDescent="0.3">
      <c r="F6298" s="90"/>
      <c r="G6298" s="90"/>
    </row>
    <row r="6299" spans="6:7" x14ac:dyDescent="0.3">
      <c r="F6299" s="90"/>
      <c r="G6299" s="90"/>
    </row>
    <row r="6300" spans="6:7" x14ac:dyDescent="0.3">
      <c r="F6300" s="90"/>
      <c r="G6300" s="90"/>
    </row>
    <row r="6301" spans="6:7" x14ac:dyDescent="0.3">
      <c r="F6301" s="90"/>
      <c r="G6301" s="90"/>
    </row>
    <row r="6302" spans="6:7" x14ac:dyDescent="0.3">
      <c r="F6302" s="90"/>
      <c r="G6302" s="90"/>
    </row>
    <row r="6303" spans="6:7" x14ac:dyDescent="0.3">
      <c r="F6303" s="90"/>
      <c r="G6303" s="90"/>
    </row>
    <row r="6304" spans="6:7" x14ac:dyDescent="0.3">
      <c r="F6304" s="90"/>
      <c r="G6304" s="90"/>
    </row>
    <row r="6305" spans="6:7" x14ac:dyDescent="0.3">
      <c r="F6305" s="90"/>
      <c r="G6305" s="90"/>
    </row>
    <row r="6306" spans="6:7" x14ac:dyDescent="0.3">
      <c r="F6306" s="90"/>
      <c r="G6306" s="90"/>
    </row>
    <row r="6307" spans="6:7" x14ac:dyDescent="0.3">
      <c r="F6307" s="90"/>
      <c r="G6307" s="90"/>
    </row>
    <row r="6308" spans="6:7" x14ac:dyDescent="0.3">
      <c r="F6308" s="90"/>
      <c r="G6308" s="90"/>
    </row>
    <row r="6309" spans="6:7" x14ac:dyDescent="0.3">
      <c r="F6309" s="90"/>
      <c r="G6309" s="90"/>
    </row>
    <row r="6310" spans="6:7" x14ac:dyDescent="0.3">
      <c r="F6310" s="90"/>
      <c r="G6310" s="90"/>
    </row>
    <row r="6311" spans="6:7" x14ac:dyDescent="0.3">
      <c r="F6311" s="90"/>
      <c r="G6311" s="90"/>
    </row>
    <row r="6312" spans="6:7" x14ac:dyDescent="0.3">
      <c r="F6312" s="90"/>
      <c r="G6312" s="90"/>
    </row>
    <row r="6313" spans="6:7" x14ac:dyDescent="0.3">
      <c r="F6313" s="90"/>
      <c r="G6313" s="90"/>
    </row>
    <row r="6314" spans="6:7" x14ac:dyDescent="0.3">
      <c r="F6314" s="90"/>
      <c r="G6314" s="90"/>
    </row>
    <row r="6315" spans="6:7" x14ac:dyDescent="0.3">
      <c r="F6315" s="90"/>
      <c r="G6315" s="90"/>
    </row>
    <row r="6316" spans="6:7" x14ac:dyDescent="0.3">
      <c r="F6316" s="90"/>
      <c r="G6316" s="90"/>
    </row>
    <row r="6317" spans="6:7" x14ac:dyDescent="0.3">
      <c r="F6317" s="90"/>
      <c r="G6317" s="90"/>
    </row>
    <row r="6318" spans="6:7" x14ac:dyDescent="0.3">
      <c r="F6318" s="90"/>
      <c r="G6318" s="90"/>
    </row>
    <row r="6319" spans="6:7" x14ac:dyDescent="0.3">
      <c r="F6319" s="90"/>
      <c r="G6319" s="90"/>
    </row>
    <row r="6320" spans="6:7" x14ac:dyDescent="0.3">
      <c r="F6320" s="90"/>
      <c r="G6320" s="90"/>
    </row>
    <row r="6321" spans="6:7" x14ac:dyDescent="0.3">
      <c r="F6321" s="90"/>
      <c r="G6321" s="90"/>
    </row>
    <row r="6322" spans="6:7" x14ac:dyDescent="0.3">
      <c r="F6322" s="90"/>
      <c r="G6322" s="90"/>
    </row>
    <row r="6323" spans="6:7" x14ac:dyDescent="0.3">
      <c r="F6323" s="90"/>
      <c r="G6323" s="90"/>
    </row>
    <row r="6324" spans="6:7" x14ac:dyDescent="0.3">
      <c r="F6324" s="90"/>
      <c r="G6324" s="90"/>
    </row>
    <row r="6325" spans="6:7" x14ac:dyDescent="0.3">
      <c r="F6325" s="90"/>
      <c r="G6325" s="90"/>
    </row>
    <row r="6326" spans="6:7" x14ac:dyDescent="0.3">
      <c r="F6326" s="90"/>
      <c r="G6326" s="90"/>
    </row>
    <row r="6327" spans="6:7" x14ac:dyDescent="0.3">
      <c r="F6327" s="90"/>
      <c r="G6327" s="90"/>
    </row>
    <row r="6328" spans="6:7" x14ac:dyDescent="0.3">
      <c r="F6328" s="90"/>
      <c r="G6328" s="90"/>
    </row>
    <row r="6329" spans="6:7" x14ac:dyDescent="0.3">
      <c r="F6329" s="90"/>
      <c r="G6329" s="90"/>
    </row>
    <row r="6330" spans="6:7" x14ac:dyDescent="0.3">
      <c r="F6330" s="90"/>
      <c r="G6330" s="90"/>
    </row>
    <row r="6331" spans="6:7" x14ac:dyDescent="0.3">
      <c r="F6331" s="90"/>
      <c r="G6331" s="90"/>
    </row>
    <row r="6332" spans="6:7" x14ac:dyDescent="0.3">
      <c r="F6332" s="90"/>
      <c r="G6332" s="90"/>
    </row>
    <row r="6333" spans="6:7" x14ac:dyDescent="0.3">
      <c r="F6333" s="90"/>
      <c r="G6333" s="90"/>
    </row>
    <row r="6334" spans="6:7" x14ac:dyDescent="0.3">
      <c r="F6334" s="90"/>
      <c r="G6334" s="90"/>
    </row>
    <row r="6335" spans="6:7" x14ac:dyDescent="0.3">
      <c r="F6335" s="90"/>
      <c r="G6335" s="90"/>
    </row>
    <row r="6336" spans="6:7" x14ac:dyDescent="0.3">
      <c r="F6336" s="90"/>
      <c r="G6336" s="90"/>
    </row>
    <row r="6337" spans="6:7" x14ac:dyDescent="0.3">
      <c r="F6337" s="90"/>
      <c r="G6337" s="90"/>
    </row>
    <row r="6338" spans="6:7" x14ac:dyDescent="0.3">
      <c r="F6338" s="90"/>
      <c r="G6338" s="90"/>
    </row>
    <row r="6339" spans="6:7" x14ac:dyDescent="0.3">
      <c r="F6339" s="90"/>
      <c r="G6339" s="90"/>
    </row>
    <row r="6340" spans="6:7" x14ac:dyDescent="0.3">
      <c r="F6340" s="90"/>
      <c r="G6340" s="90"/>
    </row>
    <row r="6341" spans="6:7" x14ac:dyDescent="0.3">
      <c r="F6341" s="90"/>
      <c r="G6341" s="90"/>
    </row>
    <row r="6342" spans="6:7" x14ac:dyDescent="0.3">
      <c r="F6342" s="90"/>
      <c r="G6342" s="90"/>
    </row>
    <row r="6343" spans="6:7" x14ac:dyDescent="0.3">
      <c r="F6343" s="90"/>
      <c r="G6343" s="90"/>
    </row>
    <row r="6344" spans="6:7" x14ac:dyDescent="0.3">
      <c r="F6344" s="90"/>
      <c r="G6344" s="90"/>
    </row>
    <row r="6345" spans="6:7" x14ac:dyDescent="0.3">
      <c r="F6345" s="90"/>
      <c r="G6345" s="90"/>
    </row>
    <row r="6346" spans="6:7" x14ac:dyDescent="0.3">
      <c r="F6346" s="90"/>
      <c r="G6346" s="90"/>
    </row>
    <row r="6347" spans="6:7" x14ac:dyDescent="0.3">
      <c r="F6347" s="90"/>
      <c r="G6347" s="90"/>
    </row>
    <row r="6348" spans="6:7" x14ac:dyDescent="0.3">
      <c r="F6348" s="90"/>
      <c r="G6348" s="90"/>
    </row>
    <row r="6349" spans="6:7" x14ac:dyDescent="0.3">
      <c r="F6349" s="90"/>
      <c r="G6349" s="90"/>
    </row>
    <row r="6350" spans="6:7" x14ac:dyDescent="0.3">
      <c r="F6350" s="90"/>
      <c r="G6350" s="90"/>
    </row>
    <row r="6351" spans="6:7" x14ac:dyDescent="0.3">
      <c r="F6351" s="90"/>
      <c r="G6351" s="90"/>
    </row>
    <row r="6352" spans="6:7" x14ac:dyDescent="0.3">
      <c r="F6352" s="90"/>
      <c r="G6352" s="90"/>
    </row>
    <row r="6353" spans="6:7" x14ac:dyDescent="0.3">
      <c r="F6353" s="90"/>
      <c r="G6353" s="90"/>
    </row>
    <row r="6354" spans="6:7" x14ac:dyDescent="0.3">
      <c r="F6354" s="90"/>
      <c r="G6354" s="90"/>
    </row>
    <row r="6355" spans="6:7" x14ac:dyDescent="0.3">
      <c r="F6355" s="90"/>
      <c r="G6355" s="90"/>
    </row>
    <row r="6356" spans="6:7" x14ac:dyDescent="0.3">
      <c r="F6356" s="90"/>
      <c r="G6356" s="90"/>
    </row>
    <row r="6357" spans="6:7" x14ac:dyDescent="0.3">
      <c r="F6357" s="90"/>
      <c r="G6357" s="90"/>
    </row>
    <row r="6358" spans="6:7" x14ac:dyDescent="0.3">
      <c r="F6358" s="90"/>
      <c r="G6358" s="90"/>
    </row>
    <row r="6359" spans="6:7" x14ac:dyDescent="0.3">
      <c r="F6359" s="90"/>
      <c r="G6359" s="90"/>
    </row>
    <row r="6360" spans="6:7" x14ac:dyDescent="0.3">
      <c r="F6360" s="90"/>
      <c r="G6360" s="90"/>
    </row>
    <row r="6361" spans="6:7" x14ac:dyDescent="0.3">
      <c r="F6361" s="90"/>
      <c r="G6361" s="90"/>
    </row>
    <row r="6362" spans="6:7" x14ac:dyDescent="0.3">
      <c r="F6362" s="90"/>
      <c r="G6362" s="90"/>
    </row>
    <row r="6363" spans="6:7" x14ac:dyDescent="0.3">
      <c r="F6363" s="90"/>
      <c r="G6363" s="90"/>
    </row>
    <row r="6364" spans="6:7" x14ac:dyDescent="0.3">
      <c r="F6364" s="90"/>
      <c r="G6364" s="90"/>
    </row>
    <row r="6365" spans="6:7" x14ac:dyDescent="0.3">
      <c r="F6365" s="90"/>
      <c r="G6365" s="90"/>
    </row>
    <row r="6366" spans="6:7" x14ac:dyDescent="0.3">
      <c r="F6366" s="90"/>
      <c r="G6366" s="90"/>
    </row>
    <row r="6367" spans="6:7" x14ac:dyDescent="0.3">
      <c r="F6367" s="90"/>
      <c r="G6367" s="90"/>
    </row>
    <row r="6368" spans="6:7" x14ac:dyDescent="0.3">
      <c r="F6368" s="90"/>
      <c r="G6368" s="90"/>
    </row>
    <row r="6369" spans="6:7" x14ac:dyDescent="0.3">
      <c r="F6369" s="90"/>
      <c r="G6369" s="90"/>
    </row>
    <row r="6370" spans="6:7" x14ac:dyDescent="0.3">
      <c r="F6370" s="90"/>
      <c r="G6370" s="90"/>
    </row>
    <row r="6371" spans="6:7" x14ac:dyDescent="0.3">
      <c r="F6371" s="90"/>
      <c r="G6371" s="90"/>
    </row>
    <row r="6372" spans="6:7" x14ac:dyDescent="0.3">
      <c r="F6372" s="90"/>
      <c r="G6372" s="90"/>
    </row>
    <row r="6373" spans="6:7" x14ac:dyDescent="0.3">
      <c r="F6373" s="90"/>
      <c r="G6373" s="90"/>
    </row>
    <row r="6374" spans="6:7" x14ac:dyDescent="0.3">
      <c r="F6374" s="90"/>
      <c r="G6374" s="90"/>
    </row>
    <row r="6375" spans="6:7" x14ac:dyDescent="0.3">
      <c r="F6375" s="90"/>
      <c r="G6375" s="90"/>
    </row>
    <row r="6376" spans="6:7" x14ac:dyDescent="0.3">
      <c r="F6376" s="90"/>
      <c r="G6376" s="90"/>
    </row>
    <row r="6377" spans="6:7" x14ac:dyDescent="0.3">
      <c r="F6377" s="90"/>
      <c r="G6377" s="90"/>
    </row>
    <row r="6378" spans="6:7" x14ac:dyDescent="0.3">
      <c r="F6378" s="90"/>
      <c r="G6378" s="90"/>
    </row>
    <row r="6379" spans="6:7" x14ac:dyDescent="0.3">
      <c r="F6379" s="90"/>
      <c r="G6379" s="90"/>
    </row>
    <row r="6380" spans="6:7" x14ac:dyDescent="0.3">
      <c r="F6380" s="90"/>
      <c r="G6380" s="90"/>
    </row>
    <row r="6381" spans="6:7" x14ac:dyDescent="0.3">
      <c r="F6381" s="90"/>
      <c r="G6381" s="90"/>
    </row>
    <row r="6382" spans="6:7" x14ac:dyDescent="0.3">
      <c r="F6382" s="90"/>
      <c r="G6382" s="90"/>
    </row>
    <row r="6383" spans="6:7" x14ac:dyDescent="0.3">
      <c r="F6383" s="90"/>
      <c r="G6383" s="90"/>
    </row>
    <row r="6384" spans="6:7" x14ac:dyDescent="0.3">
      <c r="F6384" s="90"/>
      <c r="G6384" s="90"/>
    </row>
    <row r="6385" spans="6:7" x14ac:dyDescent="0.3">
      <c r="F6385" s="90"/>
      <c r="G6385" s="90"/>
    </row>
    <row r="6386" spans="6:7" x14ac:dyDescent="0.3">
      <c r="F6386" s="90"/>
      <c r="G6386" s="90"/>
    </row>
    <row r="6387" spans="6:7" x14ac:dyDescent="0.3">
      <c r="F6387" s="90"/>
      <c r="G6387" s="90"/>
    </row>
    <row r="6388" spans="6:7" x14ac:dyDescent="0.3">
      <c r="F6388" s="90"/>
      <c r="G6388" s="90"/>
    </row>
    <row r="6389" spans="6:7" x14ac:dyDescent="0.3">
      <c r="F6389" s="90"/>
      <c r="G6389" s="90"/>
    </row>
    <row r="6390" spans="6:7" x14ac:dyDescent="0.3">
      <c r="F6390" s="90"/>
      <c r="G6390" s="90"/>
    </row>
    <row r="6391" spans="6:7" x14ac:dyDescent="0.3">
      <c r="F6391" s="90"/>
      <c r="G6391" s="90"/>
    </row>
    <row r="6392" spans="6:7" x14ac:dyDescent="0.3">
      <c r="F6392" s="90"/>
      <c r="G6392" s="90"/>
    </row>
    <row r="6393" spans="6:7" x14ac:dyDescent="0.3">
      <c r="F6393" s="90"/>
      <c r="G6393" s="90"/>
    </row>
    <row r="6394" spans="6:7" x14ac:dyDescent="0.3">
      <c r="F6394" s="90"/>
      <c r="G6394" s="90"/>
    </row>
    <row r="6395" spans="6:7" x14ac:dyDescent="0.3">
      <c r="F6395" s="90"/>
      <c r="G6395" s="90"/>
    </row>
    <row r="6396" spans="6:7" x14ac:dyDescent="0.3">
      <c r="F6396" s="90"/>
      <c r="G6396" s="90"/>
    </row>
    <row r="6397" spans="6:7" x14ac:dyDescent="0.3">
      <c r="F6397" s="90"/>
      <c r="G6397" s="90"/>
    </row>
    <row r="6398" spans="6:7" x14ac:dyDescent="0.3">
      <c r="F6398" s="90"/>
      <c r="G6398" s="90"/>
    </row>
    <row r="6399" spans="6:7" x14ac:dyDescent="0.3">
      <c r="F6399" s="90"/>
      <c r="G6399" s="90"/>
    </row>
    <row r="6400" spans="6:7" x14ac:dyDescent="0.3">
      <c r="F6400" s="90"/>
      <c r="G6400" s="90"/>
    </row>
    <row r="6401" spans="6:7" x14ac:dyDescent="0.3">
      <c r="F6401" s="90"/>
      <c r="G6401" s="90"/>
    </row>
    <row r="6402" spans="6:7" x14ac:dyDescent="0.3">
      <c r="F6402" s="90"/>
      <c r="G6402" s="90"/>
    </row>
    <row r="6403" spans="6:7" x14ac:dyDescent="0.3">
      <c r="F6403" s="90"/>
      <c r="G6403" s="90"/>
    </row>
    <row r="6404" spans="6:7" x14ac:dyDescent="0.3">
      <c r="F6404" s="90"/>
      <c r="G6404" s="90"/>
    </row>
    <row r="6405" spans="6:7" x14ac:dyDescent="0.3">
      <c r="F6405" s="90"/>
      <c r="G6405" s="90"/>
    </row>
    <row r="6406" spans="6:7" x14ac:dyDescent="0.3">
      <c r="F6406" s="90"/>
      <c r="G6406" s="90"/>
    </row>
    <row r="6407" spans="6:7" x14ac:dyDescent="0.3">
      <c r="F6407" s="90"/>
      <c r="G6407" s="90"/>
    </row>
    <row r="6408" spans="6:7" x14ac:dyDescent="0.3">
      <c r="F6408" s="90"/>
      <c r="G6408" s="90"/>
    </row>
    <row r="6409" spans="6:7" x14ac:dyDescent="0.3">
      <c r="F6409" s="90"/>
      <c r="G6409" s="90"/>
    </row>
    <row r="6410" spans="6:7" x14ac:dyDescent="0.3">
      <c r="F6410" s="90"/>
      <c r="G6410" s="90"/>
    </row>
    <row r="6411" spans="6:7" x14ac:dyDescent="0.3">
      <c r="F6411" s="90"/>
      <c r="G6411" s="90"/>
    </row>
    <row r="6412" spans="6:7" x14ac:dyDescent="0.3">
      <c r="F6412" s="90"/>
      <c r="G6412" s="90"/>
    </row>
    <row r="6413" spans="6:7" x14ac:dyDescent="0.3">
      <c r="F6413" s="90"/>
      <c r="G6413" s="90"/>
    </row>
    <row r="6414" spans="6:7" x14ac:dyDescent="0.3">
      <c r="F6414" s="90"/>
      <c r="G6414" s="90"/>
    </row>
    <row r="6415" spans="6:7" x14ac:dyDescent="0.3">
      <c r="F6415" s="90"/>
      <c r="G6415" s="90"/>
    </row>
    <row r="6416" spans="6:7" x14ac:dyDescent="0.3">
      <c r="F6416" s="90"/>
      <c r="G6416" s="90"/>
    </row>
    <row r="6417" spans="6:7" x14ac:dyDescent="0.3">
      <c r="F6417" s="90"/>
      <c r="G6417" s="90"/>
    </row>
    <row r="6418" spans="6:7" x14ac:dyDescent="0.3">
      <c r="F6418" s="90"/>
      <c r="G6418" s="90"/>
    </row>
    <row r="6419" spans="6:7" x14ac:dyDescent="0.3">
      <c r="F6419" s="90"/>
      <c r="G6419" s="90"/>
    </row>
    <row r="6420" spans="6:7" x14ac:dyDescent="0.3">
      <c r="F6420" s="90"/>
      <c r="G6420" s="90"/>
    </row>
    <row r="6421" spans="6:7" x14ac:dyDescent="0.3">
      <c r="F6421" s="90"/>
      <c r="G6421" s="90"/>
    </row>
    <row r="6422" spans="6:7" x14ac:dyDescent="0.3">
      <c r="F6422" s="90"/>
      <c r="G6422" s="90"/>
    </row>
    <row r="6423" spans="6:7" x14ac:dyDescent="0.3">
      <c r="F6423" s="90"/>
      <c r="G6423" s="90"/>
    </row>
    <row r="6424" spans="6:7" x14ac:dyDescent="0.3">
      <c r="F6424" s="90"/>
      <c r="G6424" s="90"/>
    </row>
    <row r="6425" spans="6:7" x14ac:dyDescent="0.3">
      <c r="F6425" s="90"/>
      <c r="G6425" s="90"/>
    </row>
    <row r="6426" spans="6:7" x14ac:dyDescent="0.3">
      <c r="F6426" s="90"/>
      <c r="G6426" s="90"/>
    </row>
    <row r="6427" spans="6:7" x14ac:dyDescent="0.3">
      <c r="F6427" s="90"/>
      <c r="G6427" s="90"/>
    </row>
    <row r="6428" spans="6:7" x14ac:dyDescent="0.3">
      <c r="F6428" s="90"/>
      <c r="G6428" s="90"/>
    </row>
    <row r="6429" spans="6:7" x14ac:dyDescent="0.3">
      <c r="F6429" s="90"/>
      <c r="G6429" s="90"/>
    </row>
    <row r="6430" spans="6:7" x14ac:dyDescent="0.3">
      <c r="F6430" s="90"/>
      <c r="G6430" s="90"/>
    </row>
    <row r="6431" spans="6:7" x14ac:dyDescent="0.3">
      <c r="F6431" s="90"/>
      <c r="G6431" s="90"/>
    </row>
    <row r="6432" spans="6:7" x14ac:dyDescent="0.3">
      <c r="F6432" s="90"/>
      <c r="G6432" s="90"/>
    </row>
    <row r="6433" spans="6:7" x14ac:dyDescent="0.3">
      <c r="F6433" s="90"/>
      <c r="G6433" s="90"/>
    </row>
    <row r="6434" spans="6:7" x14ac:dyDescent="0.3">
      <c r="F6434" s="90"/>
      <c r="G6434" s="90"/>
    </row>
    <row r="6435" spans="6:7" x14ac:dyDescent="0.3">
      <c r="F6435" s="90"/>
      <c r="G6435" s="90"/>
    </row>
    <row r="6436" spans="6:7" x14ac:dyDescent="0.3">
      <c r="F6436" s="90"/>
      <c r="G6436" s="90"/>
    </row>
    <row r="6437" spans="6:7" x14ac:dyDescent="0.3">
      <c r="F6437" s="90"/>
      <c r="G6437" s="90"/>
    </row>
    <row r="6438" spans="6:7" x14ac:dyDescent="0.3">
      <c r="F6438" s="90"/>
      <c r="G6438" s="90"/>
    </row>
    <row r="6439" spans="6:7" x14ac:dyDescent="0.3">
      <c r="F6439" s="90"/>
      <c r="G6439" s="90"/>
    </row>
    <row r="6440" spans="6:7" x14ac:dyDescent="0.3">
      <c r="F6440" s="90"/>
      <c r="G6440" s="90"/>
    </row>
    <row r="6441" spans="6:7" x14ac:dyDescent="0.3">
      <c r="F6441" s="90"/>
      <c r="G6441" s="90"/>
    </row>
    <row r="6442" spans="6:7" x14ac:dyDescent="0.3">
      <c r="F6442" s="90"/>
      <c r="G6442" s="90"/>
    </row>
    <row r="6443" spans="6:7" x14ac:dyDescent="0.3">
      <c r="F6443" s="90"/>
      <c r="G6443" s="90"/>
    </row>
    <row r="6444" spans="6:7" x14ac:dyDescent="0.3">
      <c r="F6444" s="90"/>
      <c r="G6444" s="90"/>
    </row>
    <row r="6445" spans="6:7" x14ac:dyDescent="0.3">
      <c r="F6445" s="90"/>
      <c r="G6445" s="90"/>
    </row>
    <row r="6446" spans="6:7" x14ac:dyDescent="0.3">
      <c r="F6446" s="90"/>
      <c r="G6446" s="90"/>
    </row>
    <row r="6447" spans="6:7" x14ac:dyDescent="0.3">
      <c r="F6447" s="90"/>
      <c r="G6447" s="90"/>
    </row>
    <row r="6448" spans="6:7" x14ac:dyDescent="0.3">
      <c r="F6448" s="90"/>
      <c r="G6448" s="90"/>
    </row>
    <row r="6449" spans="6:7" x14ac:dyDescent="0.3">
      <c r="F6449" s="90"/>
      <c r="G6449" s="90"/>
    </row>
    <row r="6450" spans="6:7" x14ac:dyDescent="0.3">
      <c r="F6450" s="90"/>
      <c r="G6450" s="90"/>
    </row>
    <row r="6451" spans="6:7" x14ac:dyDescent="0.3">
      <c r="F6451" s="90"/>
      <c r="G6451" s="90"/>
    </row>
    <row r="6452" spans="6:7" x14ac:dyDescent="0.3">
      <c r="F6452" s="90"/>
      <c r="G6452" s="90"/>
    </row>
    <row r="6453" spans="6:7" x14ac:dyDescent="0.3">
      <c r="F6453" s="90"/>
      <c r="G6453" s="90"/>
    </row>
    <row r="6454" spans="6:7" x14ac:dyDescent="0.3">
      <c r="F6454" s="90"/>
      <c r="G6454" s="90"/>
    </row>
    <row r="6455" spans="6:7" x14ac:dyDescent="0.3">
      <c r="F6455" s="90"/>
      <c r="G6455" s="90"/>
    </row>
    <row r="6456" spans="6:7" x14ac:dyDescent="0.3">
      <c r="F6456" s="90"/>
      <c r="G6456" s="90"/>
    </row>
    <row r="6457" spans="6:7" x14ac:dyDescent="0.3">
      <c r="F6457" s="90"/>
      <c r="G6457" s="90"/>
    </row>
    <row r="6458" spans="6:7" x14ac:dyDescent="0.3">
      <c r="F6458" s="90"/>
      <c r="G6458" s="90"/>
    </row>
    <row r="6459" spans="6:7" x14ac:dyDescent="0.3">
      <c r="F6459" s="90"/>
      <c r="G6459" s="90"/>
    </row>
    <row r="6460" spans="6:7" x14ac:dyDescent="0.3">
      <c r="F6460" s="90"/>
      <c r="G6460" s="90"/>
    </row>
    <row r="6461" spans="6:7" x14ac:dyDescent="0.3">
      <c r="F6461" s="90"/>
      <c r="G6461" s="90"/>
    </row>
    <row r="6462" spans="6:7" x14ac:dyDescent="0.3">
      <c r="F6462" s="90"/>
      <c r="G6462" s="90"/>
    </row>
    <row r="6463" spans="6:7" x14ac:dyDescent="0.3">
      <c r="F6463" s="90"/>
      <c r="G6463" s="90"/>
    </row>
    <row r="6464" spans="6:7" x14ac:dyDescent="0.3">
      <c r="F6464" s="90"/>
      <c r="G6464" s="90"/>
    </row>
    <row r="6465" spans="6:7" x14ac:dyDescent="0.3">
      <c r="F6465" s="90"/>
      <c r="G6465" s="90"/>
    </row>
    <row r="6466" spans="6:7" x14ac:dyDescent="0.3">
      <c r="F6466" s="90"/>
      <c r="G6466" s="90"/>
    </row>
    <row r="6467" spans="6:7" x14ac:dyDescent="0.3">
      <c r="F6467" s="90"/>
      <c r="G6467" s="90"/>
    </row>
    <row r="6468" spans="6:7" x14ac:dyDescent="0.3">
      <c r="F6468" s="90"/>
      <c r="G6468" s="90"/>
    </row>
    <row r="6469" spans="6:7" x14ac:dyDescent="0.3">
      <c r="F6469" s="90"/>
      <c r="G6469" s="90"/>
    </row>
    <row r="6470" spans="6:7" x14ac:dyDescent="0.3">
      <c r="F6470" s="90"/>
      <c r="G6470" s="90"/>
    </row>
    <row r="6471" spans="6:7" x14ac:dyDescent="0.3">
      <c r="F6471" s="90"/>
      <c r="G6471" s="90"/>
    </row>
    <row r="6472" spans="6:7" x14ac:dyDescent="0.3">
      <c r="F6472" s="90"/>
      <c r="G6472" s="90"/>
    </row>
    <row r="6473" spans="6:7" x14ac:dyDescent="0.3">
      <c r="F6473" s="90"/>
      <c r="G6473" s="90"/>
    </row>
    <row r="6474" spans="6:7" x14ac:dyDescent="0.3">
      <c r="F6474" s="90"/>
      <c r="G6474" s="90"/>
    </row>
    <row r="6475" spans="6:7" x14ac:dyDescent="0.3">
      <c r="F6475" s="90"/>
      <c r="G6475" s="90"/>
    </row>
    <row r="6476" spans="6:7" x14ac:dyDescent="0.3">
      <c r="F6476" s="90"/>
      <c r="G6476" s="90"/>
    </row>
    <row r="6477" spans="6:7" x14ac:dyDescent="0.3">
      <c r="F6477" s="90"/>
      <c r="G6477" s="90"/>
    </row>
    <row r="6478" spans="6:7" x14ac:dyDescent="0.3">
      <c r="F6478" s="90"/>
      <c r="G6478" s="90"/>
    </row>
    <row r="6479" spans="6:7" x14ac:dyDescent="0.3">
      <c r="F6479" s="90"/>
      <c r="G6479" s="90"/>
    </row>
    <row r="6480" spans="6:7" x14ac:dyDescent="0.3">
      <c r="F6480" s="90"/>
      <c r="G6480" s="90"/>
    </row>
    <row r="6481" spans="6:7" x14ac:dyDescent="0.3">
      <c r="F6481" s="90"/>
      <c r="G6481" s="90"/>
    </row>
    <row r="6482" spans="6:7" x14ac:dyDescent="0.3">
      <c r="F6482" s="90"/>
      <c r="G6482" s="90"/>
    </row>
    <row r="6483" spans="6:7" x14ac:dyDescent="0.3">
      <c r="F6483" s="90"/>
      <c r="G6483" s="90"/>
    </row>
    <row r="6484" spans="6:7" x14ac:dyDescent="0.3">
      <c r="F6484" s="90"/>
      <c r="G6484" s="90"/>
    </row>
    <row r="6485" spans="6:7" x14ac:dyDescent="0.3">
      <c r="F6485" s="90"/>
      <c r="G6485" s="90"/>
    </row>
    <row r="6486" spans="6:7" x14ac:dyDescent="0.3">
      <c r="F6486" s="90"/>
      <c r="G6486" s="90"/>
    </row>
    <row r="6487" spans="6:7" x14ac:dyDescent="0.3">
      <c r="F6487" s="90"/>
      <c r="G6487" s="90"/>
    </row>
    <row r="6488" spans="6:7" x14ac:dyDescent="0.3">
      <c r="F6488" s="90"/>
      <c r="G6488" s="90"/>
    </row>
    <row r="6489" spans="6:7" x14ac:dyDescent="0.3">
      <c r="F6489" s="90"/>
      <c r="G6489" s="90"/>
    </row>
    <row r="6490" spans="6:7" x14ac:dyDescent="0.3">
      <c r="F6490" s="90"/>
      <c r="G6490" s="90"/>
    </row>
    <row r="6491" spans="6:7" x14ac:dyDescent="0.3">
      <c r="F6491" s="90"/>
      <c r="G6491" s="90"/>
    </row>
    <row r="6492" spans="6:7" x14ac:dyDescent="0.3">
      <c r="F6492" s="90"/>
      <c r="G6492" s="90"/>
    </row>
    <row r="6493" spans="6:7" x14ac:dyDescent="0.3">
      <c r="F6493" s="90"/>
      <c r="G6493" s="90"/>
    </row>
    <row r="6494" spans="6:7" x14ac:dyDescent="0.3">
      <c r="F6494" s="90"/>
      <c r="G6494" s="90"/>
    </row>
    <row r="6495" spans="6:7" x14ac:dyDescent="0.3">
      <c r="F6495" s="90"/>
      <c r="G6495" s="90"/>
    </row>
    <row r="6496" spans="6:7" x14ac:dyDescent="0.3">
      <c r="F6496" s="90"/>
      <c r="G6496" s="90"/>
    </row>
    <row r="6497" spans="6:7" x14ac:dyDescent="0.3">
      <c r="F6497" s="90"/>
      <c r="G6497" s="90"/>
    </row>
    <row r="6498" spans="6:7" x14ac:dyDescent="0.3">
      <c r="F6498" s="90"/>
      <c r="G6498" s="90"/>
    </row>
    <row r="6499" spans="6:7" x14ac:dyDescent="0.3">
      <c r="F6499" s="90"/>
      <c r="G6499" s="90"/>
    </row>
    <row r="6500" spans="6:7" x14ac:dyDescent="0.3">
      <c r="F6500" s="90"/>
      <c r="G6500" s="90"/>
    </row>
    <row r="6501" spans="6:7" x14ac:dyDescent="0.3">
      <c r="F6501" s="90"/>
      <c r="G6501" s="90"/>
    </row>
    <row r="6502" spans="6:7" x14ac:dyDescent="0.3">
      <c r="F6502" s="90"/>
      <c r="G6502" s="90"/>
    </row>
    <row r="6503" spans="6:7" x14ac:dyDescent="0.3">
      <c r="F6503" s="90"/>
      <c r="G6503" s="90"/>
    </row>
    <row r="6504" spans="6:7" x14ac:dyDescent="0.3">
      <c r="F6504" s="90"/>
      <c r="G6504" s="90"/>
    </row>
    <row r="6505" spans="6:7" x14ac:dyDescent="0.3">
      <c r="F6505" s="90"/>
      <c r="G6505" s="90"/>
    </row>
    <row r="6506" spans="6:7" x14ac:dyDescent="0.3">
      <c r="F6506" s="90"/>
      <c r="G6506" s="90"/>
    </row>
    <row r="6507" spans="6:7" x14ac:dyDescent="0.3">
      <c r="F6507" s="90"/>
      <c r="G6507" s="90"/>
    </row>
    <row r="6508" spans="6:7" x14ac:dyDescent="0.3">
      <c r="F6508" s="90"/>
      <c r="G6508" s="90"/>
    </row>
    <row r="6509" spans="6:7" x14ac:dyDescent="0.3">
      <c r="F6509" s="90"/>
      <c r="G6509" s="90"/>
    </row>
    <row r="6510" spans="6:7" x14ac:dyDescent="0.3">
      <c r="F6510" s="90"/>
      <c r="G6510" s="90"/>
    </row>
    <row r="6511" spans="6:7" x14ac:dyDescent="0.3">
      <c r="F6511" s="90"/>
      <c r="G6511" s="90"/>
    </row>
    <row r="6512" spans="6:7" x14ac:dyDescent="0.3">
      <c r="F6512" s="90"/>
      <c r="G6512" s="90"/>
    </row>
    <row r="6513" spans="6:7" x14ac:dyDescent="0.3">
      <c r="F6513" s="90"/>
      <c r="G6513" s="90"/>
    </row>
    <row r="6514" spans="6:7" x14ac:dyDescent="0.3">
      <c r="F6514" s="90"/>
      <c r="G6514" s="90"/>
    </row>
    <row r="6515" spans="6:7" x14ac:dyDescent="0.3">
      <c r="F6515" s="90"/>
      <c r="G6515" s="90"/>
    </row>
    <row r="6516" spans="6:7" x14ac:dyDescent="0.3">
      <c r="F6516" s="90"/>
      <c r="G6516" s="90"/>
    </row>
    <row r="6517" spans="6:7" x14ac:dyDescent="0.3">
      <c r="F6517" s="90"/>
      <c r="G6517" s="90"/>
    </row>
    <row r="6518" spans="6:7" x14ac:dyDescent="0.3">
      <c r="F6518" s="90"/>
      <c r="G6518" s="90"/>
    </row>
    <row r="6519" spans="6:7" x14ac:dyDescent="0.3">
      <c r="F6519" s="90"/>
      <c r="G6519" s="90"/>
    </row>
    <row r="6520" spans="6:7" x14ac:dyDescent="0.3">
      <c r="F6520" s="90"/>
      <c r="G6520" s="90"/>
    </row>
    <row r="6521" spans="6:7" x14ac:dyDescent="0.3">
      <c r="F6521" s="90"/>
      <c r="G6521" s="90"/>
    </row>
    <row r="6522" spans="6:7" x14ac:dyDescent="0.3">
      <c r="F6522" s="90"/>
      <c r="G6522" s="90"/>
    </row>
    <row r="6523" spans="6:7" x14ac:dyDescent="0.3">
      <c r="F6523" s="90"/>
      <c r="G6523" s="90"/>
    </row>
    <row r="6524" spans="6:7" x14ac:dyDescent="0.3">
      <c r="F6524" s="90"/>
      <c r="G6524" s="90"/>
    </row>
    <row r="6525" spans="6:7" x14ac:dyDescent="0.3">
      <c r="F6525" s="90"/>
      <c r="G6525" s="90"/>
    </row>
    <row r="6526" spans="6:7" x14ac:dyDescent="0.3">
      <c r="F6526" s="90"/>
      <c r="G6526" s="90"/>
    </row>
    <row r="6527" spans="6:7" x14ac:dyDescent="0.3">
      <c r="F6527" s="90"/>
      <c r="G6527" s="90"/>
    </row>
    <row r="6528" spans="6:7" x14ac:dyDescent="0.3">
      <c r="F6528" s="90"/>
      <c r="G6528" s="90"/>
    </row>
    <row r="6529" spans="6:7" x14ac:dyDescent="0.3">
      <c r="F6529" s="90"/>
      <c r="G6529" s="90"/>
    </row>
    <row r="6530" spans="6:7" x14ac:dyDescent="0.3">
      <c r="F6530" s="90"/>
      <c r="G6530" s="90"/>
    </row>
    <row r="6531" spans="6:7" x14ac:dyDescent="0.3">
      <c r="F6531" s="90"/>
      <c r="G6531" s="90"/>
    </row>
    <row r="6532" spans="6:7" x14ac:dyDescent="0.3">
      <c r="F6532" s="90"/>
      <c r="G6532" s="90"/>
    </row>
    <row r="6533" spans="6:7" x14ac:dyDescent="0.3">
      <c r="F6533" s="90"/>
      <c r="G6533" s="90"/>
    </row>
    <row r="6534" spans="6:7" x14ac:dyDescent="0.3">
      <c r="F6534" s="90"/>
      <c r="G6534" s="90"/>
    </row>
    <row r="6535" spans="6:7" x14ac:dyDescent="0.3">
      <c r="F6535" s="90"/>
      <c r="G6535" s="90"/>
    </row>
    <row r="6536" spans="6:7" x14ac:dyDescent="0.3">
      <c r="F6536" s="90"/>
      <c r="G6536" s="90"/>
    </row>
    <row r="6537" spans="6:7" x14ac:dyDescent="0.3">
      <c r="F6537" s="90"/>
      <c r="G6537" s="90"/>
    </row>
    <row r="6538" spans="6:7" x14ac:dyDescent="0.3">
      <c r="F6538" s="90"/>
      <c r="G6538" s="90"/>
    </row>
    <row r="6539" spans="6:7" x14ac:dyDescent="0.3">
      <c r="F6539" s="90"/>
      <c r="G6539" s="90"/>
    </row>
    <row r="6540" spans="6:7" x14ac:dyDescent="0.3">
      <c r="F6540" s="90"/>
      <c r="G6540" s="90"/>
    </row>
    <row r="6541" spans="6:7" x14ac:dyDescent="0.3">
      <c r="F6541" s="90"/>
      <c r="G6541" s="90"/>
    </row>
    <row r="6542" spans="6:7" x14ac:dyDescent="0.3">
      <c r="F6542" s="90"/>
      <c r="G6542" s="90"/>
    </row>
    <row r="6543" spans="6:7" x14ac:dyDescent="0.3">
      <c r="F6543" s="90"/>
      <c r="G6543" s="90"/>
    </row>
    <row r="6544" spans="6:7" x14ac:dyDescent="0.3">
      <c r="F6544" s="90"/>
      <c r="G6544" s="90"/>
    </row>
    <row r="6545" spans="6:7" x14ac:dyDescent="0.3">
      <c r="F6545" s="90"/>
      <c r="G6545" s="90"/>
    </row>
    <row r="6546" spans="6:7" x14ac:dyDescent="0.3">
      <c r="F6546" s="90"/>
      <c r="G6546" s="90"/>
    </row>
    <row r="6547" spans="6:7" x14ac:dyDescent="0.3">
      <c r="F6547" s="90"/>
      <c r="G6547" s="90"/>
    </row>
    <row r="6548" spans="6:7" x14ac:dyDescent="0.3">
      <c r="F6548" s="90"/>
      <c r="G6548" s="90"/>
    </row>
    <row r="6549" spans="6:7" x14ac:dyDescent="0.3">
      <c r="F6549" s="90"/>
      <c r="G6549" s="90"/>
    </row>
    <row r="6550" spans="6:7" x14ac:dyDescent="0.3">
      <c r="F6550" s="90"/>
      <c r="G6550" s="90"/>
    </row>
    <row r="6551" spans="6:7" x14ac:dyDescent="0.3">
      <c r="F6551" s="90"/>
      <c r="G6551" s="90"/>
    </row>
    <row r="6552" spans="6:7" x14ac:dyDescent="0.3">
      <c r="F6552" s="90"/>
      <c r="G6552" s="90"/>
    </row>
    <row r="6553" spans="6:7" x14ac:dyDescent="0.3">
      <c r="F6553" s="90"/>
      <c r="G6553" s="90"/>
    </row>
    <row r="6554" spans="6:7" x14ac:dyDescent="0.3">
      <c r="F6554" s="90"/>
      <c r="G6554" s="90"/>
    </row>
    <row r="6555" spans="6:7" x14ac:dyDescent="0.3">
      <c r="F6555" s="90"/>
      <c r="G6555" s="90"/>
    </row>
    <row r="6556" spans="6:7" x14ac:dyDescent="0.3">
      <c r="F6556" s="90"/>
      <c r="G6556" s="90"/>
    </row>
    <row r="6557" spans="6:7" x14ac:dyDescent="0.3">
      <c r="F6557" s="90"/>
      <c r="G6557" s="90"/>
    </row>
    <row r="6558" spans="6:7" x14ac:dyDescent="0.3">
      <c r="F6558" s="90"/>
      <c r="G6558" s="90"/>
    </row>
    <row r="6559" spans="6:7" x14ac:dyDescent="0.3">
      <c r="F6559" s="90"/>
      <c r="G6559" s="90"/>
    </row>
    <row r="6560" spans="6:7" x14ac:dyDescent="0.3">
      <c r="F6560" s="90"/>
      <c r="G6560" s="90"/>
    </row>
    <row r="6561" spans="6:7" x14ac:dyDescent="0.3">
      <c r="F6561" s="90"/>
      <c r="G6561" s="90"/>
    </row>
    <row r="6562" spans="6:7" x14ac:dyDescent="0.3">
      <c r="F6562" s="90"/>
      <c r="G6562" s="90"/>
    </row>
    <row r="6563" spans="6:7" x14ac:dyDescent="0.3">
      <c r="F6563" s="90"/>
      <c r="G6563" s="90"/>
    </row>
    <row r="6564" spans="6:7" x14ac:dyDescent="0.3">
      <c r="F6564" s="90"/>
      <c r="G6564" s="90"/>
    </row>
    <row r="6565" spans="6:7" x14ac:dyDescent="0.3">
      <c r="F6565" s="90"/>
      <c r="G6565" s="90"/>
    </row>
    <row r="6566" spans="6:7" x14ac:dyDescent="0.3">
      <c r="F6566" s="90"/>
      <c r="G6566" s="90"/>
    </row>
    <row r="6567" spans="6:7" x14ac:dyDescent="0.3">
      <c r="F6567" s="90"/>
      <c r="G6567" s="90"/>
    </row>
    <row r="6568" spans="6:7" x14ac:dyDescent="0.3">
      <c r="F6568" s="90"/>
      <c r="G6568" s="90"/>
    </row>
    <row r="6569" spans="6:7" x14ac:dyDescent="0.3">
      <c r="F6569" s="90"/>
      <c r="G6569" s="90"/>
    </row>
    <row r="6570" spans="6:7" x14ac:dyDescent="0.3">
      <c r="F6570" s="90"/>
      <c r="G6570" s="90"/>
    </row>
    <row r="6571" spans="6:7" x14ac:dyDescent="0.3">
      <c r="F6571" s="90"/>
      <c r="G6571" s="90"/>
    </row>
    <row r="6572" spans="6:7" x14ac:dyDescent="0.3">
      <c r="F6572" s="90"/>
      <c r="G6572" s="90"/>
    </row>
    <row r="6573" spans="6:7" x14ac:dyDescent="0.3">
      <c r="F6573" s="90"/>
      <c r="G6573" s="90"/>
    </row>
    <row r="6574" spans="6:7" x14ac:dyDescent="0.3">
      <c r="F6574" s="90"/>
      <c r="G6574" s="90"/>
    </row>
    <row r="6575" spans="6:7" x14ac:dyDescent="0.3">
      <c r="F6575" s="90"/>
      <c r="G6575" s="90"/>
    </row>
    <row r="6576" spans="6:7" x14ac:dyDescent="0.3">
      <c r="F6576" s="90"/>
      <c r="G6576" s="90"/>
    </row>
    <row r="6577" spans="6:7" x14ac:dyDescent="0.3">
      <c r="F6577" s="90"/>
      <c r="G6577" s="90"/>
    </row>
    <row r="6578" spans="6:7" x14ac:dyDescent="0.3">
      <c r="F6578" s="90"/>
      <c r="G6578" s="90"/>
    </row>
    <row r="6579" spans="6:7" x14ac:dyDescent="0.3">
      <c r="F6579" s="90"/>
      <c r="G6579" s="90"/>
    </row>
    <row r="6580" spans="6:7" x14ac:dyDescent="0.3">
      <c r="F6580" s="90"/>
      <c r="G6580" s="90"/>
    </row>
    <row r="6581" spans="6:7" x14ac:dyDescent="0.3">
      <c r="F6581" s="90"/>
      <c r="G6581" s="90"/>
    </row>
    <row r="6582" spans="6:7" x14ac:dyDescent="0.3">
      <c r="F6582" s="90"/>
      <c r="G6582" s="90"/>
    </row>
    <row r="6583" spans="6:7" x14ac:dyDescent="0.3">
      <c r="F6583" s="90"/>
      <c r="G6583" s="90"/>
    </row>
    <row r="6584" spans="6:7" x14ac:dyDescent="0.3">
      <c r="F6584" s="90"/>
      <c r="G6584" s="90"/>
    </row>
    <row r="6585" spans="6:7" x14ac:dyDescent="0.3">
      <c r="F6585" s="90"/>
      <c r="G6585" s="90"/>
    </row>
    <row r="6586" spans="6:7" x14ac:dyDescent="0.3">
      <c r="F6586" s="90"/>
      <c r="G6586" s="90"/>
    </row>
    <row r="6587" spans="6:7" x14ac:dyDescent="0.3">
      <c r="F6587" s="90"/>
      <c r="G6587" s="90"/>
    </row>
    <row r="6588" spans="6:7" x14ac:dyDescent="0.3">
      <c r="F6588" s="90"/>
      <c r="G6588" s="90"/>
    </row>
    <row r="6589" spans="6:7" x14ac:dyDescent="0.3">
      <c r="F6589" s="90"/>
      <c r="G6589" s="90"/>
    </row>
    <row r="6590" spans="6:7" x14ac:dyDescent="0.3">
      <c r="F6590" s="90"/>
      <c r="G6590" s="90"/>
    </row>
    <row r="6591" spans="6:7" x14ac:dyDescent="0.3">
      <c r="F6591" s="90"/>
      <c r="G6591" s="90"/>
    </row>
    <row r="6592" spans="6:7" x14ac:dyDescent="0.3">
      <c r="F6592" s="90"/>
      <c r="G6592" s="90"/>
    </row>
    <row r="6593" spans="6:7" x14ac:dyDescent="0.3">
      <c r="F6593" s="90"/>
      <c r="G6593" s="90"/>
    </row>
    <row r="6594" spans="6:7" x14ac:dyDescent="0.3">
      <c r="F6594" s="90"/>
      <c r="G6594" s="90"/>
    </row>
    <row r="6595" spans="6:7" x14ac:dyDescent="0.3">
      <c r="F6595" s="90"/>
      <c r="G6595" s="90"/>
    </row>
    <row r="6596" spans="6:7" x14ac:dyDescent="0.3">
      <c r="F6596" s="90"/>
      <c r="G6596" s="90"/>
    </row>
    <row r="6597" spans="6:7" x14ac:dyDescent="0.3">
      <c r="F6597" s="90"/>
      <c r="G6597" s="90"/>
    </row>
    <row r="6598" spans="6:7" x14ac:dyDescent="0.3">
      <c r="F6598" s="90"/>
      <c r="G6598" s="90"/>
    </row>
    <row r="6599" spans="6:7" x14ac:dyDescent="0.3">
      <c r="F6599" s="90"/>
      <c r="G6599" s="90"/>
    </row>
    <row r="6600" spans="6:7" x14ac:dyDescent="0.3">
      <c r="F6600" s="90"/>
      <c r="G6600" s="90"/>
    </row>
    <row r="6601" spans="6:7" x14ac:dyDescent="0.3">
      <c r="F6601" s="90"/>
      <c r="G6601" s="90"/>
    </row>
    <row r="6602" spans="6:7" x14ac:dyDescent="0.3">
      <c r="F6602" s="90"/>
      <c r="G6602" s="90"/>
    </row>
    <row r="6603" spans="6:7" x14ac:dyDescent="0.3">
      <c r="F6603" s="90"/>
      <c r="G6603" s="90"/>
    </row>
    <row r="6604" spans="6:7" x14ac:dyDescent="0.3">
      <c r="F6604" s="90"/>
      <c r="G6604" s="90"/>
    </row>
    <row r="6605" spans="6:7" x14ac:dyDescent="0.3">
      <c r="F6605" s="90"/>
      <c r="G6605" s="90"/>
    </row>
    <row r="6606" spans="6:7" x14ac:dyDescent="0.3">
      <c r="F6606" s="90"/>
      <c r="G6606" s="90"/>
    </row>
    <row r="6607" spans="6:7" x14ac:dyDescent="0.3">
      <c r="F6607" s="90"/>
      <c r="G6607" s="90"/>
    </row>
    <row r="6608" spans="6:7" x14ac:dyDescent="0.3">
      <c r="F6608" s="90"/>
      <c r="G6608" s="90"/>
    </row>
    <row r="6609" spans="6:7" x14ac:dyDescent="0.3">
      <c r="F6609" s="90"/>
      <c r="G6609" s="90"/>
    </row>
    <row r="6610" spans="6:7" x14ac:dyDescent="0.3">
      <c r="F6610" s="90"/>
      <c r="G6610" s="90"/>
    </row>
    <row r="6611" spans="6:7" x14ac:dyDescent="0.3">
      <c r="F6611" s="90"/>
      <c r="G6611" s="90"/>
    </row>
    <row r="6612" spans="6:7" x14ac:dyDescent="0.3">
      <c r="F6612" s="90"/>
      <c r="G6612" s="90"/>
    </row>
    <row r="6613" spans="6:7" x14ac:dyDescent="0.3">
      <c r="F6613" s="90"/>
      <c r="G6613" s="90"/>
    </row>
    <row r="6614" spans="6:7" x14ac:dyDescent="0.3">
      <c r="F6614" s="90"/>
      <c r="G6614" s="90"/>
    </row>
    <row r="6615" spans="6:7" x14ac:dyDescent="0.3">
      <c r="F6615" s="90"/>
      <c r="G6615" s="90"/>
    </row>
    <row r="6616" spans="6:7" x14ac:dyDescent="0.3">
      <c r="F6616" s="90"/>
      <c r="G6616" s="90"/>
    </row>
    <row r="6617" spans="6:7" x14ac:dyDescent="0.3">
      <c r="F6617" s="90"/>
      <c r="G6617" s="90"/>
    </row>
    <row r="6618" spans="6:7" x14ac:dyDescent="0.3">
      <c r="F6618" s="90"/>
      <c r="G6618" s="90"/>
    </row>
    <row r="6619" spans="6:7" x14ac:dyDescent="0.3">
      <c r="F6619" s="90"/>
      <c r="G6619" s="90"/>
    </row>
    <row r="6620" spans="6:7" x14ac:dyDescent="0.3">
      <c r="F6620" s="90"/>
      <c r="G6620" s="90"/>
    </row>
    <row r="6621" spans="6:7" x14ac:dyDescent="0.3">
      <c r="F6621" s="90"/>
      <c r="G6621" s="90"/>
    </row>
    <row r="6622" spans="6:7" x14ac:dyDescent="0.3">
      <c r="F6622" s="90"/>
      <c r="G6622" s="90"/>
    </row>
    <row r="6623" spans="6:7" x14ac:dyDescent="0.3">
      <c r="F6623" s="90"/>
      <c r="G6623" s="90"/>
    </row>
    <row r="6624" spans="6:7" x14ac:dyDescent="0.3">
      <c r="F6624" s="90"/>
      <c r="G6624" s="90"/>
    </row>
    <row r="6625" spans="6:7" x14ac:dyDescent="0.3">
      <c r="F6625" s="90"/>
      <c r="G6625" s="90"/>
    </row>
    <row r="6626" spans="6:7" x14ac:dyDescent="0.3">
      <c r="F6626" s="90"/>
      <c r="G6626" s="90"/>
    </row>
    <row r="6627" spans="6:7" x14ac:dyDescent="0.3">
      <c r="F6627" s="90"/>
      <c r="G6627" s="90"/>
    </row>
    <row r="6628" spans="6:7" x14ac:dyDescent="0.3">
      <c r="F6628" s="90"/>
      <c r="G6628" s="90"/>
    </row>
    <row r="6629" spans="6:7" x14ac:dyDescent="0.3">
      <c r="F6629" s="90"/>
      <c r="G6629" s="90"/>
    </row>
    <row r="6630" spans="6:7" x14ac:dyDescent="0.3">
      <c r="F6630" s="90"/>
      <c r="G6630" s="90"/>
    </row>
    <row r="6631" spans="6:7" x14ac:dyDescent="0.3">
      <c r="F6631" s="90"/>
      <c r="G6631" s="90"/>
    </row>
    <row r="6632" spans="6:7" x14ac:dyDescent="0.3">
      <c r="F6632" s="90"/>
      <c r="G6632" s="90"/>
    </row>
    <row r="6633" spans="6:7" x14ac:dyDescent="0.3">
      <c r="F6633" s="90"/>
      <c r="G6633" s="90"/>
    </row>
    <row r="6634" spans="6:7" x14ac:dyDescent="0.3">
      <c r="F6634" s="90"/>
      <c r="G6634" s="90"/>
    </row>
    <row r="6635" spans="6:7" x14ac:dyDescent="0.3">
      <c r="F6635" s="90"/>
      <c r="G6635" s="90"/>
    </row>
    <row r="6636" spans="6:7" x14ac:dyDescent="0.3">
      <c r="F6636" s="90"/>
      <c r="G6636" s="90"/>
    </row>
    <row r="6637" spans="6:7" x14ac:dyDescent="0.3">
      <c r="F6637" s="90"/>
      <c r="G6637" s="90"/>
    </row>
    <row r="6638" spans="6:7" x14ac:dyDescent="0.3">
      <c r="F6638" s="90"/>
      <c r="G6638" s="90"/>
    </row>
    <row r="6639" spans="6:7" x14ac:dyDescent="0.3">
      <c r="F6639" s="90"/>
      <c r="G6639" s="90"/>
    </row>
    <row r="6640" spans="6:7" x14ac:dyDescent="0.3">
      <c r="F6640" s="90"/>
      <c r="G6640" s="90"/>
    </row>
    <row r="6641" spans="6:7" x14ac:dyDescent="0.3">
      <c r="F6641" s="90"/>
      <c r="G6641" s="90"/>
    </row>
    <row r="6642" spans="6:7" x14ac:dyDescent="0.3">
      <c r="F6642" s="90"/>
      <c r="G6642" s="90"/>
    </row>
    <row r="6643" spans="6:7" x14ac:dyDescent="0.3">
      <c r="F6643" s="90"/>
      <c r="G6643" s="90"/>
    </row>
    <row r="6644" spans="6:7" x14ac:dyDescent="0.3">
      <c r="F6644" s="90"/>
      <c r="G6644" s="90"/>
    </row>
    <row r="6645" spans="6:7" x14ac:dyDescent="0.3">
      <c r="F6645" s="90"/>
      <c r="G6645" s="90"/>
    </row>
    <row r="6646" spans="6:7" x14ac:dyDescent="0.3">
      <c r="F6646" s="90"/>
      <c r="G6646" s="90"/>
    </row>
    <row r="6647" spans="6:7" x14ac:dyDescent="0.3">
      <c r="F6647" s="90"/>
      <c r="G6647" s="90"/>
    </row>
    <row r="6648" spans="6:7" x14ac:dyDescent="0.3">
      <c r="F6648" s="90"/>
      <c r="G6648" s="90"/>
    </row>
    <row r="6649" spans="6:7" x14ac:dyDescent="0.3">
      <c r="F6649" s="90"/>
      <c r="G6649" s="90"/>
    </row>
    <row r="6650" spans="6:7" x14ac:dyDescent="0.3">
      <c r="F6650" s="90"/>
      <c r="G6650" s="90"/>
    </row>
    <row r="6651" spans="6:7" x14ac:dyDescent="0.3">
      <c r="F6651" s="90"/>
      <c r="G6651" s="90"/>
    </row>
    <row r="6652" spans="6:7" x14ac:dyDescent="0.3">
      <c r="F6652" s="90"/>
      <c r="G6652" s="90"/>
    </row>
    <row r="6653" spans="6:7" x14ac:dyDescent="0.3">
      <c r="F6653" s="90"/>
      <c r="G6653" s="90"/>
    </row>
    <row r="6654" spans="6:7" x14ac:dyDescent="0.3">
      <c r="F6654" s="90"/>
      <c r="G6654" s="90"/>
    </row>
    <row r="6655" spans="6:7" x14ac:dyDescent="0.3">
      <c r="F6655" s="90"/>
      <c r="G6655" s="90"/>
    </row>
    <row r="6656" spans="6:7" x14ac:dyDescent="0.3">
      <c r="F6656" s="90"/>
      <c r="G6656" s="90"/>
    </row>
    <row r="6657" spans="6:7" x14ac:dyDescent="0.3">
      <c r="F6657" s="90"/>
      <c r="G6657" s="90"/>
    </row>
    <row r="6658" spans="6:7" x14ac:dyDescent="0.3">
      <c r="F6658" s="90"/>
      <c r="G6658" s="90"/>
    </row>
    <row r="6659" spans="6:7" x14ac:dyDescent="0.3">
      <c r="F6659" s="90"/>
      <c r="G6659" s="90"/>
    </row>
    <row r="6660" spans="6:7" x14ac:dyDescent="0.3">
      <c r="F6660" s="90"/>
      <c r="G6660" s="90"/>
    </row>
    <row r="6661" spans="6:7" x14ac:dyDescent="0.3">
      <c r="F6661" s="90"/>
      <c r="G6661" s="90"/>
    </row>
    <row r="6662" spans="6:7" x14ac:dyDescent="0.3">
      <c r="F6662" s="90"/>
      <c r="G6662" s="90"/>
    </row>
    <row r="6663" spans="6:7" x14ac:dyDescent="0.3">
      <c r="F6663" s="90"/>
      <c r="G6663" s="90"/>
    </row>
    <row r="6664" spans="6:7" x14ac:dyDescent="0.3">
      <c r="F6664" s="90"/>
      <c r="G6664" s="90"/>
    </row>
    <row r="6665" spans="6:7" x14ac:dyDescent="0.3">
      <c r="F6665" s="90"/>
      <c r="G6665" s="90"/>
    </row>
    <row r="6666" spans="6:7" x14ac:dyDescent="0.3">
      <c r="F6666" s="90"/>
      <c r="G6666" s="90"/>
    </row>
    <row r="6667" spans="6:7" x14ac:dyDescent="0.3">
      <c r="F6667" s="90"/>
      <c r="G6667" s="90"/>
    </row>
    <row r="6668" spans="6:7" x14ac:dyDescent="0.3">
      <c r="F6668" s="90"/>
      <c r="G6668" s="90"/>
    </row>
    <row r="6669" spans="6:7" x14ac:dyDescent="0.3">
      <c r="F6669" s="90"/>
      <c r="G6669" s="90"/>
    </row>
    <row r="6670" spans="6:7" x14ac:dyDescent="0.3">
      <c r="F6670" s="90"/>
      <c r="G6670" s="90"/>
    </row>
    <row r="6671" spans="6:7" x14ac:dyDescent="0.3">
      <c r="F6671" s="90"/>
      <c r="G6671" s="90"/>
    </row>
    <row r="6672" spans="6:7" x14ac:dyDescent="0.3">
      <c r="F6672" s="90"/>
      <c r="G6672" s="90"/>
    </row>
    <row r="6673" spans="6:7" x14ac:dyDescent="0.3">
      <c r="F6673" s="90"/>
      <c r="G6673" s="90"/>
    </row>
    <row r="6674" spans="6:7" x14ac:dyDescent="0.3">
      <c r="F6674" s="90"/>
      <c r="G6674" s="90"/>
    </row>
    <row r="6675" spans="6:7" x14ac:dyDescent="0.3">
      <c r="F6675" s="90"/>
      <c r="G6675" s="9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</sheetPr>
  <dimension ref="A1:E26"/>
  <sheetViews>
    <sheetView workbookViewId="0">
      <selection activeCell="E23" sqref="E23"/>
    </sheetView>
  </sheetViews>
  <sheetFormatPr defaultRowHeight="14.4" x14ac:dyDescent="0.3"/>
  <cols>
    <col min="1" max="1" width="18.21875" customWidth="1"/>
    <col min="2" max="2" width="13.77734375" bestFit="1" customWidth="1"/>
    <col min="5" max="5" width="10.5546875" customWidth="1"/>
  </cols>
  <sheetData>
    <row r="1" spans="1:5" ht="15" thickBot="1" x14ac:dyDescent="0.35">
      <c r="A1" s="377" t="s">
        <v>661</v>
      </c>
      <c r="B1" s="378"/>
      <c r="C1" s="378"/>
      <c r="D1" s="378"/>
      <c r="E1" s="379"/>
    </row>
    <row r="2" spans="1:5" ht="15" thickBot="1" x14ac:dyDescent="0.35">
      <c r="A2" s="10"/>
      <c r="B2" s="11"/>
      <c r="C2" s="11"/>
      <c r="D2" s="11"/>
      <c r="E2" s="11"/>
    </row>
    <row r="3" spans="1:5" ht="58.2" thickBot="1" x14ac:dyDescent="0.35">
      <c r="A3" s="10"/>
      <c r="B3" s="12" t="s">
        <v>662</v>
      </c>
      <c r="C3" s="13" t="s">
        <v>663</v>
      </c>
      <c r="D3" s="13" t="s">
        <v>664</v>
      </c>
      <c r="E3" s="14" t="s">
        <v>665</v>
      </c>
    </row>
    <row r="4" spans="1:5" x14ac:dyDescent="0.3">
      <c r="A4" s="380" t="s">
        <v>666</v>
      </c>
      <c r="B4" s="15" t="s">
        <v>1483</v>
      </c>
      <c r="C4" s="16">
        <v>1</v>
      </c>
      <c r="D4" s="16">
        <v>59</v>
      </c>
      <c r="E4" s="81">
        <v>128</v>
      </c>
    </row>
    <row r="5" spans="1:5" x14ac:dyDescent="0.3">
      <c r="A5" s="381"/>
      <c r="B5" s="17" t="s">
        <v>1484</v>
      </c>
      <c r="C5" s="18">
        <v>60</v>
      </c>
      <c r="D5" s="18">
        <v>99</v>
      </c>
      <c r="E5" s="82">
        <v>123.83</v>
      </c>
    </row>
    <row r="6" spans="1:5" x14ac:dyDescent="0.3">
      <c r="A6" s="381"/>
      <c r="B6" s="17" t="s">
        <v>952</v>
      </c>
      <c r="C6" s="18">
        <v>100</v>
      </c>
      <c r="D6" s="18">
        <v>299</v>
      </c>
      <c r="E6" s="82">
        <v>101.31457481162541</v>
      </c>
    </row>
    <row r="7" spans="1:5" x14ac:dyDescent="0.3">
      <c r="A7" s="381"/>
      <c r="B7" s="17" t="s">
        <v>953</v>
      </c>
      <c r="C7" s="18">
        <v>300</v>
      </c>
      <c r="D7" s="18">
        <v>399</v>
      </c>
      <c r="E7" s="82">
        <v>84.432362755651241</v>
      </c>
    </row>
    <row r="8" spans="1:5" x14ac:dyDescent="0.3">
      <c r="A8" s="381"/>
      <c r="B8" s="17" t="s">
        <v>808</v>
      </c>
      <c r="C8" s="18">
        <v>400</v>
      </c>
      <c r="D8" s="18">
        <v>699</v>
      </c>
      <c r="E8" s="82">
        <v>78.797857911733047</v>
      </c>
    </row>
    <row r="9" spans="1:5" ht="15" thickBot="1" x14ac:dyDescent="0.35">
      <c r="A9" s="382"/>
      <c r="B9" s="17" t="s">
        <v>668</v>
      </c>
      <c r="C9" s="18">
        <v>700</v>
      </c>
      <c r="D9" s="18"/>
      <c r="E9" s="82">
        <v>74.35629171151777</v>
      </c>
    </row>
    <row r="10" spans="1:5" x14ac:dyDescent="0.3">
      <c r="A10" s="380" t="s">
        <v>669</v>
      </c>
      <c r="B10" s="15" t="s">
        <v>670</v>
      </c>
      <c r="C10" s="16">
        <v>0</v>
      </c>
      <c r="D10" s="19">
        <v>9999</v>
      </c>
      <c r="E10" s="81">
        <v>74.35629171151777</v>
      </c>
    </row>
    <row r="11" spans="1:5" x14ac:dyDescent="0.3">
      <c r="A11" s="381"/>
      <c r="B11" s="17" t="s">
        <v>809</v>
      </c>
      <c r="C11" s="20">
        <v>10000</v>
      </c>
      <c r="D11" s="20">
        <v>19999</v>
      </c>
      <c r="E11" s="82">
        <v>67.53949946178686</v>
      </c>
    </row>
    <row r="12" spans="1:5" ht="15" thickBot="1" x14ac:dyDescent="0.35">
      <c r="A12" s="382"/>
      <c r="B12" s="21" t="s">
        <v>671</v>
      </c>
      <c r="C12" s="22">
        <v>20000</v>
      </c>
      <c r="D12" s="22">
        <v>999999</v>
      </c>
      <c r="E12" s="83">
        <v>61.915645855758882</v>
      </c>
    </row>
    <row r="13" spans="1:5" x14ac:dyDescent="0.3">
      <c r="A13" s="374" t="s">
        <v>672</v>
      </c>
      <c r="B13" s="15" t="s">
        <v>667</v>
      </c>
      <c r="C13" s="16">
        <v>1</v>
      </c>
      <c r="D13" s="16">
        <v>99</v>
      </c>
      <c r="E13" s="81">
        <v>450.28108180839615</v>
      </c>
    </row>
    <row r="14" spans="1:5" x14ac:dyDescent="0.3">
      <c r="A14" s="375"/>
      <c r="B14" s="17" t="s">
        <v>954</v>
      </c>
      <c r="C14" s="18">
        <v>100</v>
      </c>
      <c r="D14" s="18">
        <v>249</v>
      </c>
      <c r="E14" s="82">
        <v>101.31457481162541</v>
      </c>
    </row>
    <row r="15" spans="1:5" x14ac:dyDescent="0.3">
      <c r="A15" s="375"/>
      <c r="B15" s="17" t="s">
        <v>955</v>
      </c>
      <c r="C15" s="18">
        <v>250</v>
      </c>
      <c r="D15" s="18">
        <v>399</v>
      </c>
      <c r="E15" s="82">
        <v>84.432362755651241</v>
      </c>
    </row>
    <row r="16" spans="1:5" x14ac:dyDescent="0.3">
      <c r="A16" s="375"/>
      <c r="B16" s="17" t="s">
        <v>808</v>
      </c>
      <c r="C16" s="18">
        <v>400</v>
      </c>
      <c r="D16" s="18">
        <v>699</v>
      </c>
      <c r="E16" s="82">
        <v>78.797857911733047</v>
      </c>
    </row>
    <row r="17" spans="1:5" ht="15" thickBot="1" x14ac:dyDescent="0.35">
      <c r="A17" s="376"/>
      <c r="B17" s="21" t="s">
        <v>668</v>
      </c>
      <c r="C17" s="23">
        <v>700</v>
      </c>
      <c r="D17" s="22">
        <v>999999</v>
      </c>
      <c r="E17" s="83">
        <v>74.35629171151777</v>
      </c>
    </row>
    <row r="18" spans="1:5" x14ac:dyDescent="0.3">
      <c r="A18" s="380" t="s">
        <v>673</v>
      </c>
      <c r="B18" s="15" t="s">
        <v>667</v>
      </c>
      <c r="C18" s="16">
        <v>0</v>
      </c>
      <c r="D18" s="16">
        <v>99</v>
      </c>
      <c r="E18" s="81">
        <v>146.33735737351989</v>
      </c>
    </row>
    <row r="19" spans="1:5" x14ac:dyDescent="0.3">
      <c r="A19" s="381"/>
      <c r="B19" s="17" t="s">
        <v>810</v>
      </c>
      <c r="C19" s="18">
        <v>100</v>
      </c>
      <c r="D19" s="18">
        <v>374</v>
      </c>
      <c r="E19" s="82">
        <v>106.9384284176534</v>
      </c>
    </row>
    <row r="20" spans="1:5" x14ac:dyDescent="0.3">
      <c r="A20" s="381"/>
      <c r="B20" s="17" t="s">
        <v>811</v>
      </c>
      <c r="C20" s="18">
        <v>375</v>
      </c>
      <c r="D20" s="18">
        <v>699</v>
      </c>
      <c r="E20" s="82">
        <v>78.797857911733047</v>
      </c>
    </row>
    <row r="21" spans="1:5" x14ac:dyDescent="0.3">
      <c r="A21" s="381"/>
      <c r="B21" s="17" t="s">
        <v>812</v>
      </c>
      <c r="C21" s="18">
        <v>700</v>
      </c>
      <c r="D21" s="20">
        <v>3999</v>
      </c>
      <c r="E21" s="82">
        <v>74.35629171151777</v>
      </c>
    </row>
    <row r="22" spans="1:5" ht="15" thickBot="1" x14ac:dyDescent="0.35">
      <c r="A22" s="382"/>
      <c r="B22" s="21" t="s">
        <v>674</v>
      </c>
      <c r="C22" s="22">
        <v>4000</v>
      </c>
      <c r="D22" s="22">
        <v>999999</v>
      </c>
      <c r="E22" s="83">
        <v>61.915645855758882</v>
      </c>
    </row>
    <row r="23" spans="1:5" x14ac:dyDescent="0.3">
      <c r="A23" s="374" t="s">
        <v>675</v>
      </c>
      <c r="B23" s="15" t="s">
        <v>667</v>
      </c>
      <c r="C23" s="16">
        <v>1</v>
      </c>
      <c r="D23" s="16">
        <v>99</v>
      </c>
      <c r="E23" s="81">
        <v>225.14586652314316</v>
      </c>
    </row>
    <row r="24" spans="1:5" x14ac:dyDescent="0.3">
      <c r="A24" s="375"/>
      <c r="B24" s="17" t="s">
        <v>810</v>
      </c>
      <c r="C24" s="18">
        <v>100</v>
      </c>
      <c r="D24" s="18">
        <v>374</v>
      </c>
      <c r="E24" s="82">
        <v>106.9384284176534</v>
      </c>
    </row>
    <row r="25" spans="1:5" x14ac:dyDescent="0.3">
      <c r="A25" s="375"/>
      <c r="B25" s="17" t="s">
        <v>811</v>
      </c>
      <c r="C25" s="18">
        <v>375</v>
      </c>
      <c r="D25" s="18">
        <v>699</v>
      </c>
      <c r="E25" s="82">
        <v>78.797857911733047</v>
      </c>
    </row>
    <row r="26" spans="1:5" ht="15" thickBot="1" x14ac:dyDescent="0.35">
      <c r="A26" s="376"/>
      <c r="B26" s="21" t="s">
        <v>668</v>
      </c>
      <c r="C26" s="23">
        <v>700</v>
      </c>
      <c r="D26" s="22">
        <v>999999</v>
      </c>
      <c r="E26" s="83">
        <v>74.35629171151777</v>
      </c>
    </row>
  </sheetData>
  <mergeCells count="6">
    <mergeCell ref="A23:A26"/>
    <mergeCell ref="A1:E1"/>
    <mergeCell ref="A4:A9"/>
    <mergeCell ref="A10:A12"/>
    <mergeCell ref="A13:A17"/>
    <mergeCell ref="A18:A2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91F1B4-C60A-47D6-AE4E-FFD0CE0880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2D2F01-3106-4E6F-9C5A-3EEB74FA61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475C51-9891-4F15-A920-158A6ECE9227}">
  <ds:schemaRefs>
    <ds:schemaRef ds:uri="http://www.w3.org/XML/1998/namespace"/>
    <ds:schemaRef ds:uri="http://purl.org/dc/terms/"/>
    <ds:schemaRef ds:uri="http://purl.org/dc/elements/1.1/"/>
    <ds:schemaRef ds:uri="3ed7015c-3088-4573-a2b5-1c16df166eeb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7bfb68b-a3bb-4a28-a4e0-f34ef2d57dd6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19</vt:i4>
      </vt:variant>
    </vt:vector>
  </HeadingPairs>
  <TitlesOfParts>
    <vt:vector size="28" baseType="lpstr">
      <vt:lpstr>Trial Pricing Calculator</vt:lpstr>
      <vt:lpstr>Calculations</vt:lpstr>
      <vt:lpstr>Freight_Exch_Excise</vt:lpstr>
      <vt:lpstr>Spirit Min. Markup</vt:lpstr>
      <vt:lpstr>Wine Min. Markup</vt:lpstr>
      <vt:lpstr>Ref. Bev. Min. Markup</vt:lpstr>
      <vt:lpstr>Beer Min. Markup</vt:lpstr>
      <vt:lpstr>MinMark-up Masterlist</vt:lpstr>
      <vt:lpstr>SRP</vt:lpstr>
      <vt:lpstr>Beer</vt:lpstr>
      <vt:lpstr>Canada</vt:lpstr>
      <vt:lpstr>CanadaF</vt:lpstr>
      <vt:lpstr>Certificate_of_Origin</vt:lpstr>
      <vt:lpstr>Currency</vt:lpstr>
      <vt:lpstr>Freight</vt:lpstr>
      <vt:lpstr>International</vt:lpstr>
      <vt:lpstr>InternationalF</vt:lpstr>
      <vt:lpstr>MBLL_Product_Category</vt:lpstr>
      <vt:lpstr>Private_Distribution</vt:lpstr>
      <vt:lpstr>Private_Distribution_Beer</vt:lpstr>
      <vt:lpstr>Private_Distribution_RTD</vt:lpstr>
      <vt:lpstr>Private_Product_Category</vt:lpstr>
      <vt:lpstr>Ready_to_Drink</vt:lpstr>
      <vt:lpstr>Ready_to_Drink_Private</vt:lpstr>
      <vt:lpstr>Select</vt:lpstr>
      <vt:lpstr>Spirit</vt:lpstr>
      <vt:lpstr>USA</vt:lpstr>
      <vt:lpstr>Wine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Figler</dc:creator>
  <cp:lastModifiedBy>Albert Nasuti</cp:lastModifiedBy>
  <cp:lastPrinted>2023-03-24T16:01:08Z</cp:lastPrinted>
  <dcterms:created xsi:type="dcterms:W3CDTF">2017-01-25T15:18:40Z</dcterms:created>
  <dcterms:modified xsi:type="dcterms:W3CDTF">2024-11-27T20:02:21Z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